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harlesworth\Team Drives\My Drive\Charlesworth Shared\1. P&amp;C Retainers\Cameron County, TX\2022 RFP Project\Underwriting Information\"/>
    </mc:Choice>
  </mc:AlternateContent>
  <xr:revisionPtr revIDLastSave="0" documentId="8_{FE7EE12E-BA53-4CD8-B22D-5C5CF52F73D9}" xr6:coauthVersionLast="47" xr6:coauthVersionMax="47" xr10:uidLastSave="{00000000-0000-0000-0000-000000000000}"/>
  <bookViews>
    <workbookView xWindow="28680" yWindow="-120" windowWidth="29040" windowHeight="15840" activeTab="3" xr2:uid="{B2B073AF-FF12-4C57-8D2E-A52AFA8C59B6}"/>
  </bookViews>
  <sheets>
    <sheet name="19 SYSTEM  " sheetId="1" r:id="rId1"/>
    <sheet name="20 SYSTEM  " sheetId="2" r:id="rId2"/>
    <sheet name="21 SYSTEM " sheetId="3" r:id="rId3"/>
    <sheet name="22 SYSTEM " sheetId="4" r:id="rId4"/>
  </sheets>
  <definedNames>
    <definedName name="_xlnm.Print_Area" localSheetId="0">'19 SYSTEM  '!$A$2:$M$169</definedName>
    <definedName name="_xlnm.Print_Area" localSheetId="1">'20 SYSTEM  '!$A$2:$M$169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2" i="4"/>
  <c r="C13" i="4"/>
  <c r="C14" i="4"/>
  <c r="C15" i="4"/>
  <c r="C16" i="4"/>
  <c r="C17" i="4"/>
  <c r="C18" i="4"/>
  <c r="C23" i="4" s="1"/>
  <c r="C19" i="4"/>
  <c r="C20" i="4"/>
  <c r="C21" i="4"/>
  <c r="C22" i="4"/>
  <c r="B23" i="4"/>
  <c r="D23" i="4"/>
  <c r="F23" i="4"/>
  <c r="G23" i="4"/>
  <c r="H23" i="4"/>
  <c r="I23" i="4"/>
  <c r="J23" i="4"/>
  <c r="K23" i="4"/>
  <c r="L23" i="4"/>
  <c r="M23" i="4"/>
  <c r="C27" i="4"/>
  <c r="G27" i="4"/>
  <c r="I27" i="4"/>
  <c r="J27" i="4"/>
  <c r="L27" i="4" s="1"/>
  <c r="K27" i="4"/>
  <c r="C28" i="4"/>
  <c r="G28" i="4"/>
  <c r="I28" i="4"/>
  <c r="J28" i="4"/>
  <c r="K28" i="4"/>
  <c r="L28" i="4"/>
  <c r="C29" i="4"/>
  <c r="G29" i="4"/>
  <c r="I29" i="4"/>
  <c r="J29" i="4"/>
  <c r="L29" i="4" s="1"/>
  <c r="K29" i="4"/>
  <c r="M29" i="4"/>
  <c r="C30" i="4"/>
  <c r="M30" i="4" s="1"/>
  <c r="G30" i="4"/>
  <c r="I30" i="4"/>
  <c r="J30" i="4"/>
  <c r="L30" i="4" s="1"/>
  <c r="K30" i="4"/>
  <c r="C31" i="4"/>
  <c r="M31" i="4" s="1"/>
  <c r="G31" i="4"/>
  <c r="I31" i="4"/>
  <c r="J31" i="4"/>
  <c r="L31" i="4" s="1"/>
  <c r="K31" i="4"/>
  <c r="C32" i="4"/>
  <c r="G32" i="4"/>
  <c r="I32" i="4"/>
  <c r="L32" i="4"/>
  <c r="L158" i="4" s="1"/>
  <c r="C33" i="4"/>
  <c r="M33" i="4" s="1"/>
  <c r="G33" i="4"/>
  <c r="I33" i="4"/>
  <c r="L33" i="4"/>
  <c r="C34" i="4"/>
  <c r="G34" i="4"/>
  <c r="I34" i="4"/>
  <c r="L34" i="4"/>
  <c r="C35" i="4"/>
  <c r="G35" i="4"/>
  <c r="I35" i="4"/>
  <c r="L35" i="4"/>
  <c r="C36" i="4"/>
  <c r="G36" i="4"/>
  <c r="I36" i="4"/>
  <c r="M36" i="4" s="1"/>
  <c r="L36" i="4"/>
  <c r="C37" i="4"/>
  <c r="G37" i="4"/>
  <c r="I37" i="4"/>
  <c r="L37" i="4"/>
  <c r="C38" i="4"/>
  <c r="G38" i="4"/>
  <c r="I38" i="4"/>
  <c r="L38" i="4"/>
  <c r="B39" i="4"/>
  <c r="D39" i="4"/>
  <c r="E39" i="4"/>
  <c r="F39" i="4"/>
  <c r="H39" i="4"/>
  <c r="C53" i="4"/>
  <c r="M69" i="4" s="1"/>
  <c r="C54" i="4"/>
  <c r="C138" i="4" s="1"/>
  <c r="C55" i="4"/>
  <c r="C139" i="4" s="1"/>
  <c r="C56" i="4"/>
  <c r="C57" i="4"/>
  <c r="C58" i="4"/>
  <c r="C59" i="4"/>
  <c r="C60" i="4"/>
  <c r="C144" i="4" s="1"/>
  <c r="C61" i="4"/>
  <c r="C62" i="4"/>
  <c r="C146" i="4" s="1"/>
  <c r="C63" i="4"/>
  <c r="M79" i="4" s="1"/>
  <c r="C64" i="4"/>
  <c r="B65" i="4"/>
  <c r="D65" i="4"/>
  <c r="E65" i="4"/>
  <c r="F65" i="4"/>
  <c r="G65" i="4"/>
  <c r="H65" i="4"/>
  <c r="I65" i="4"/>
  <c r="J65" i="4"/>
  <c r="K65" i="4"/>
  <c r="L65" i="4"/>
  <c r="M65" i="4"/>
  <c r="C69" i="4"/>
  <c r="D69" i="4"/>
  <c r="L69" i="4" s="1"/>
  <c r="E69" i="4"/>
  <c r="E153" i="4" s="1"/>
  <c r="G69" i="4"/>
  <c r="G153" i="4" s="1"/>
  <c r="I69" i="4"/>
  <c r="J69" i="4"/>
  <c r="K69" i="4"/>
  <c r="C70" i="4"/>
  <c r="D70" i="4"/>
  <c r="D154" i="4" s="1"/>
  <c r="E70" i="4"/>
  <c r="E154" i="4" s="1"/>
  <c r="G70" i="4"/>
  <c r="I70" i="4"/>
  <c r="J70" i="4"/>
  <c r="K70" i="4"/>
  <c r="C71" i="4"/>
  <c r="D71" i="4"/>
  <c r="L71" i="4" s="1"/>
  <c r="E71" i="4"/>
  <c r="G71" i="4"/>
  <c r="I71" i="4"/>
  <c r="J71" i="4"/>
  <c r="J155" i="4" s="1"/>
  <c r="K71" i="4"/>
  <c r="C72" i="4"/>
  <c r="M72" i="4" s="1"/>
  <c r="D72" i="4"/>
  <c r="E72" i="4"/>
  <c r="G72" i="4"/>
  <c r="G156" i="4" s="1"/>
  <c r="I72" i="4"/>
  <c r="I156" i="4" s="1"/>
  <c r="J72" i="4"/>
  <c r="J156" i="4" s="1"/>
  <c r="K72" i="4"/>
  <c r="C73" i="4"/>
  <c r="D73" i="4"/>
  <c r="E73" i="4"/>
  <c r="E157" i="4" s="1"/>
  <c r="G73" i="4"/>
  <c r="G157" i="4" s="1"/>
  <c r="I73" i="4"/>
  <c r="J73" i="4"/>
  <c r="K73" i="4"/>
  <c r="C74" i="4"/>
  <c r="G74" i="4"/>
  <c r="I74" i="4"/>
  <c r="L74" i="4"/>
  <c r="M74" i="4"/>
  <c r="C75" i="4"/>
  <c r="M75" i="4" s="1"/>
  <c r="G75" i="4"/>
  <c r="G159" i="4" s="1"/>
  <c r="I75" i="4"/>
  <c r="L75" i="4"/>
  <c r="C76" i="4"/>
  <c r="G76" i="4"/>
  <c r="I76" i="4"/>
  <c r="L76" i="4"/>
  <c r="M76" i="4"/>
  <c r="C77" i="4"/>
  <c r="C161" i="4" s="1"/>
  <c r="G77" i="4"/>
  <c r="I77" i="4"/>
  <c r="L77" i="4"/>
  <c r="C78" i="4"/>
  <c r="G78" i="4"/>
  <c r="I78" i="4"/>
  <c r="L78" i="4"/>
  <c r="C79" i="4"/>
  <c r="G79" i="4"/>
  <c r="I79" i="4"/>
  <c r="L79" i="4"/>
  <c r="C80" i="4"/>
  <c r="M80" i="4" s="1"/>
  <c r="G80" i="4"/>
  <c r="I80" i="4"/>
  <c r="L80" i="4"/>
  <c r="L164" i="4" s="1"/>
  <c r="B81" i="4"/>
  <c r="F81" i="4"/>
  <c r="H81" i="4"/>
  <c r="K81" i="4"/>
  <c r="C95" i="4"/>
  <c r="M111" i="4" s="1"/>
  <c r="C96" i="4"/>
  <c r="C97" i="4"/>
  <c r="C98" i="4"/>
  <c r="C99" i="4"/>
  <c r="C100" i="4"/>
  <c r="C101" i="4"/>
  <c r="C102" i="4"/>
  <c r="C103" i="4"/>
  <c r="M119" i="4" s="1"/>
  <c r="C104" i="4"/>
  <c r="C105" i="4"/>
  <c r="C106" i="4"/>
  <c r="B107" i="4"/>
  <c r="D107" i="4"/>
  <c r="E107" i="4"/>
  <c r="F107" i="4"/>
  <c r="G107" i="4"/>
  <c r="H107" i="4"/>
  <c r="I107" i="4"/>
  <c r="J107" i="4"/>
  <c r="K107" i="4"/>
  <c r="L107" i="4"/>
  <c r="M107" i="4"/>
  <c r="C111" i="4"/>
  <c r="G111" i="4"/>
  <c r="I111" i="4"/>
  <c r="J111" i="4"/>
  <c r="K111" i="4"/>
  <c r="L111" i="4"/>
  <c r="C112" i="4"/>
  <c r="G112" i="4"/>
  <c r="G154" i="4" s="1"/>
  <c r="I112" i="4"/>
  <c r="J112" i="4"/>
  <c r="L112" i="4" s="1"/>
  <c r="K112" i="4"/>
  <c r="C113" i="4"/>
  <c r="G113" i="4"/>
  <c r="I113" i="4"/>
  <c r="J113" i="4"/>
  <c r="L113" i="4" s="1"/>
  <c r="K113" i="4"/>
  <c r="K123" i="4" s="1"/>
  <c r="C114" i="4"/>
  <c r="M114" i="4" s="1"/>
  <c r="G114" i="4"/>
  <c r="I114" i="4"/>
  <c r="J114" i="4"/>
  <c r="L114" i="4" s="1"/>
  <c r="K114" i="4"/>
  <c r="C115" i="4"/>
  <c r="C157" i="4" s="1"/>
  <c r="G115" i="4"/>
  <c r="I115" i="4"/>
  <c r="J115" i="4"/>
  <c r="K115" i="4"/>
  <c r="L115" i="4"/>
  <c r="C116" i="4"/>
  <c r="G116" i="4"/>
  <c r="I116" i="4"/>
  <c r="I158" i="4" s="1"/>
  <c r="L116" i="4"/>
  <c r="C117" i="4"/>
  <c r="G117" i="4"/>
  <c r="I117" i="4"/>
  <c r="I159" i="4" s="1"/>
  <c r="L117" i="4"/>
  <c r="C118" i="4"/>
  <c r="G118" i="4"/>
  <c r="I118" i="4"/>
  <c r="L118" i="4"/>
  <c r="C119" i="4"/>
  <c r="G119" i="4"/>
  <c r="I119" i="4"/>
  <c r="L119" i="4"/>
  <c r="C120" i="4"/>
  <c r="G120" i="4"/>
  <c r="G162" i="4" s="1"/>
  <c r="I120" i="4"/>
  <c r="L120" i="4"/>
  <c r="C121" i="4"/>
  <c r="G121" i="4"/>
  <c r="I121" i="4"/>
  <c r="L121" i="4"/>
  <c r="C122" i="4"/>
  <c r="G122" i="4"/>
  <c r="G164" i="4" s="1"/>
  <c r="I122" i="4"/>
  <c r="L122" i="4"/>
  <c r="B123" i="4"/>
  <c r="D123" i="4"/>
  <c r="E123" i="4"/>
  <c r="F123" i="4"/>
  <c r="H123" i="4"/>
  <c r="J123" i="4"/>
  <c r="B137" i="4"/>
  <c r="B149" i="4" s="1"/>
  <c r="D137" i="4"/>
  <c r="E137" i="4"/>
  <c r="F137" i="4"/>
  <c r="G137" i="4"/>
  <c r="H137" i="4"/>
  <c r="H149" i="4" s="1"/>
  <c r="I137" i="4"/>
  <c r="I149" i="4" s="1"/>
  <c r="J137" i="4"/>
  <c r="J149" i="4" s="1"/>
  <c r="K137" i="4"/>
  <c r="K149" i="4" s="1"/>
  <c r="L137" i="4"/>
  <c r="M137" i="4"/>
  <c r="B138" i="4"/>
  <c r="D138" i="4"/>
  <c r="E138" i="4"/>
  <c r="F138" i="4"/>
  <c r="G138" i="4"/>
  <c r="H138" i="4"/>
  <c r="I138" i="4"/>
  <c r="J138" i="4"/>
  <c r="K138" i="4"/>
  <c r="L138" i="4"/>
  <c r="M138" i="4"/>
  <c r="B139" i="4"/>
  <c r="D139" i="4"/>
  <c r="E139" i="4"/>
  <c r="F139" i="4"/>
  <c r="G139" i="4"/>
  <c r="H139" i="4"/>
  <c r="I139" i="4"/>
  <c r="J139" i="4"/>
  <c r="K139" i="4"/>
  <c r="L139" i="4"/>
  <c r="M139" i="4"/>
  <c r="B140" i="4"/>
  <c r="C140" i="4"/>
  <c r="D140" i="4"/>
  <c r="E140" i="4"/>
  <c r="F140" i="4"/>
  <c r="F149" i="4" s="1"/>
  <c r="G140" i="4"/>
  <c r="G149" i="4" s="1"/>
  <c r="H140" i="4"/>
  <c r="I140" i="4"/>
  <c r="J140" i="4"/>
  <c r="K140" i="4"/>
  <c r="L140" i="4"/>
  <c r="M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B143" i="4"/>
  <c r="D143" i="4"/>
  <c r="D149" i="4" s="1"/>
  <c r="E143" i="4"/>
  <c r="F143" i="4"/>
  <c r="G143" i="4"/>
  <c r="H143" i="4"/>
  <c r="I143" i="4"/>
  <c r="J143" i="4"/>
  <c r="K143" i="4"/>
  <c r="L143" i="4"/>
  <c r="L149" i="4" s="1"/>
  <c r="M143" i="4"/>
  <c r="B144" i="4"/>
  <c r="D144" i="4"/>
  <c r="E144" i="4"/>
  <c r="F144" i="4"/>
  <c r="G144" i="4"/>
  <c r="H144" i="4"/>
  <c r="I144" i="4"/>
  <c r="J144" i="4"/>
  <c r="K144" i="4"/>
  <c r="L144" i="4"/>
  <c r="M144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B146" i="4"/>
  <c r="D146" i="4"/>
  <c r="E146" i="4"/>
  <c r="F146" i="4"/>
  <c r="G146" i="4"/>
  <c r="H146" i="4"/>
  <c r="I146" i="4"/>
  <c r="J146" i="4"/>
  <c r="K146" i="4"/>
  <c r="L146" i="4"/>
  <c r="M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B148" i="4"/>
  <c r="D148" i="4"/>
  <c r="E148" i="4"/>
  <c r="F148" i="4"/>
  <c r="G148" i="4"/>
  <c r="H148" i="4"/>
  <c r="I148" i="4"/>
  <c r="J148" i="4"/>
  <c r="K148" i="4"/>
  <c r="L148" i="4"/>
  <c r="M148" i="4"/>
  <c r="E149" i="4"/>
  <c r="M149" i="4"/>
  <c r="B153" i="4"/>
  <c r="B165" i="4" s="1"/>
  <c r="F153" i="4"/>
  <c r="H153" i="4"/>
  <c r="I153" i="4"/>
  <c r="J153" i="4"/>
  <c r="K153" i="4"/>
  <c r="B154" i="4"/>
  <c r="C154" i="4"/>
  <c r="F154" i="4"/>
  <c r="H154" i="4"/>
  <c r="I154" i="4"/>
  <c r="J154" i="4"/>
  <c r="K154" i="4"/>
  <c r="B155" i="4"/>
  <c r="C155" i="4"/>
  <c r="D155" i="4"/>
  <c r="E155" i="4"/>
  <c r="F155" i="4"/>
  <c r="F165" i="4" s="1"/>
  <c r="G155" i="4"/>
  <c r="H155" i="4"/>
  <c r="I155" i="4"/>
  <c r="B156" i="4"/>
  <c r="C156" i="4"/>
  <c r="D156" i="4"/>
  <c r="E156" i="4"/>
  <c r="F156" i="4"/>
  <c r="H156" i="4"/>
  <c r="K156" i="4"/>
  <c r="B157" i="4"/>
  <c r="D157" i="4"/>
  <c r="F157" i="4"/>
  <c r="H157" i="4"/>
  <c r="K157" i="4"/>
  <c r="B158" i="4"/>
  <c r="C158" i="4"/>
  <c r="D158" i="4"/>
  <c r="E158" i="4"/>
  <c r="F158" i="4"/>
  <c r="H158" i="4"/>
  <c r="J158" i="4"/>
  <c r="K158" i="4"/>
  <c r="B159" i="4"/>
  <c r="D159" i="4"/>
  <c r="E159" i="4"/>
  <c r="F159" i="4"/>
  <c r="H159" i="4"/>
  <c r="J159" i="4"/>
  <c r="K159" i="4"/>
  <c r="L159" i="4"/>
  <c r="B160" i="4"/>
  <c r="C160" i="4"/>
  <c r="D160" i="4"/>
  <c r="E160" i="4"/>
  <c r="F160" i="4"/>
  <c r="G160" i="4"/>
  <c r="H160" i="4"/>
  <c r="I160" i="4"/>
  <c r="J160" i="4"/>
  <c r="K160" i="4"/>
  <c r="B161" i="4"/>
  <c r="D161" i="4"/>
  <c r="E161" i="4"/>
  <c r="F161" i="4"/>
  <c r="G161" i="4"/>
  <c r="H161" i="4"/>
  <c r="H165" i="4" s="1"/>
  <c r="J161" i="4"/>
  <c r="K161" i="4"/>
  <c r="L161" i="4"/>
  <c r="B162" i="4"/>
  <c r="C162" i="4"/>
  <c r="D162" i="4"/>
  <c r="E162" i="4"/>
  <c r="F162" i="4"/>
  <c r="H162" i="4"/>
  <c r="J162" i="4"/>
  <c r="K162" i="4"/>
  <c r="L162" i="4"/>
  <c r="B163" i="4"/>
  <c r="D163" i="4"/>
  <c r="E163" i="4"/>
  <c r="F163" i="4"/>
  <c r="G163" i="4"/>
  <c r="H163" i="4"/>
  <c r="I163" i="4"/>
  <c r="J163" i="4"/>
  <c r="K163" i="4"/>
  <c r="L163" i="4"/>
  <c r="B164" i="4"/>
  <c r="D164" i="4"/>
  <c r="E164" i="4"/>
  <c r="F164" i="4"/>
  <c r="H164" i="4"/>
  <c r="I164" i="4"/>
  <c r="J164" i="4"/>
  <c r="K164" i="4"/>
  <c r="H164" i="3"/>
  <c r="F164" i="3"/>
  <c r="B164" i="3"/>
  <c r="H163" i="3"/>
  <c r="F163" i="3"/>
  <c r="B163" i="3"/>
  <c r="H162" i="3"/>
  <c r="F162" i="3"/>
  <c r="B162" i="3"/>
  <c r="H161" i="3"/>
  <c r="F161" i="3"/>
  <c r="B161" i="3"/>
  <c r="H160" i="3"/>
  <c r="F160" i="3"/>
  <c r="B160" i="3"/>
  <c r="H159" i="3"/>
  <c r="F159" i="3"/>
  <c r="B159" i="3"/>
  <c r="K158" i="3"/>
  <c r="J158" i="3"/>
  <c r="H158" i="3"/>
  <c r="F158" i="3"/>
  <c r="E158" i="3"/>
  <c r="D158" i="3"/>
  <c r="B158" i="3"/>
  <c r="K157" i="3"/>
  <c r="J157" i="3"/>
  <c r="H157" i="3"/>
  <c r="F157" i="3"/>
  <c r="E157" i="3"/>
  <c r="D157" i="3"/>
  <c r="B157" i="3"/>
  <c r="H156" i="3"/>
  <c r="F156" i="3"/>
  <c r="B156" i="3"/>
  <c r="H155" i="3"/>
  <c r="F155" i="3"/>
  <c r="B155" i="3"/>
  <c r="H154" i="3"/>
  <c r="F154" i="3"/>
  <c r="B154" i="3"/>
  <c r="H153" i="3"/>
  <c r="F153" i="3"/>
  <c r="B153" i="3"/>
  <c r="M148" i="3"/>
  <c r="L148" i="3"/>
  <c r="K148" i="3"/>
  <c r="J148" i="3"/>
  <c r="I148" i="3"/>
  <c r="H148" i="3"/>
  <c r="G148" i="3"/>
  <c r="F148" i="3"/>
  <c r="E148" i="3"/>
  <c r="D148" i="3"/>
  <c r="B148" i="3"/>
  <c r="M147" i="3"/>
  <c r="L147" i="3"/>
  <c r="K147" i="3"/>
  <c r="J147" i="3"/>
  <c r="I147" i="3"/>
  <c r="H147" i="3"/>
  <c r="G147" i="3"/>
  <c r="F147" i="3"/>
  <c r="E147" i="3"/>
  <c r="D147" i="3"/>
  <c r="B147" i="3"/>
  <c r="M146" i="3"/>
  <c r="L146" i="3"/>
  <c r="K146" i="3"/>
  <c r="J146" i="3"/>
  <c r="I146" i="3"/>
  <c r="H146" i="3"/>
  <c r="G146" i="3"/>
  <c r="F146" i="3"/>
  <c r="E146" i="3"/>
  <c r="D146" i="3"/>
  <c r="B146" i="3"/>
  <c r="M145" i="3"/>
  <c r="L145" i="3"/>
  <c r="K145" i="3"/>
  <c r="J145" i="3"/>
  <c r="I145" i="3"/>
  <c r="H145" i="3"/>
  <c r="G145" i="3"/>
  <c r="F145" i="3"/>
  <c r="E145" i="3"/>
  <c r="D145" i="3"/>
  <c r="B145" i="3"/>
  <c r="M144" i="3"/>
  <c r="L144" i="3"/>
  <c r="K144" i="3"/>
  <c r="J144" i="3"/>
  <c r="I144" i="3"/>
  <c r="H144" i="3"/>
  <c r="G144" i="3"/>
  <c r="F144" i="3"/>
  <c r="E144" i="3"/>
  <c r="D144" i="3"/>
  <c r="B144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M142" i="3"/>
  <c r="L142" i="3"/>
  <c r="K142" i="3"/>
  <c r="J142" i="3"/>
  <c r="I142" i="3"/>
  <c r="H142" i="3"/>
  <c r="G142" i="3"/>
  <c r="F142" i="3"/>
  <c r="E142" i="3"/>
  <c r="D142" i="3"/>
  <c r="B142" i="3"/>
  <c r="M141" i="3"/>
  <c r="L141" i="3"/>
  <c r="K141" i="3"/>
  <c r="J141" i="3"/>
  <c r="I141" i="3"/>
  <c r="H141" i="3"/>
  <c r="G141" i="3"/>
  <c r="F141" i="3"/>
  <c r="E141" i="3"/>
  <c r="D141" i="3"/>
  <c r="B141" i="3"/>
  <c r="M140" i="3"/>
  <c r="L140" i="3"/>
  <c r="K140" i="3"/>
  <c r="J140" i="3"/>
  <c r="I140" i="3"/>
  <c r="H140" i="3"/>
  <c r="G140" i="3"/>
  <c r="F140" i="3"/>
  <c r="E140" i="3"/>
  <c r="D140" i="3"/>
  <c r="B140" i="3"/>
  <c r="M139" i="3"/>
  <c r="L139" i="3"/>
  <c r="K139" i="3"/>
  <c r="J139" i="3"/>
  <c r="I139" i="3"/>
  <c r="H139" i="3"/>
  <c r="G139" i="3"/>
  <c r="F139" i="3"/>
  <c r="E139" i="3"/>
  <c r="D139" i="3"/>
  <c r="B139" i="3"/>
  <c r="M138" i="3"/>
  <c r="L138" i="3"/>
  <c r="K138" i="3"/>
  <c r="J138" i="3"/>
  <c r="I138" i="3"/>
  <c r="H138" i="3"/>
  <c r="G138" i="3"/>
  <c r="F138" i="3"/>
  <c r="E138" i="3"/>
  <c r="D138" i="3"/>
  <c r="B138" i="3"/>
  <c r="M137" i="3"/>
  <c r="L137" i="3"/>
  <c r="K137" i="3"/>
  <c r="J137" i="3"/>
  <c r="I137" i="3"/>
  <c r="H137" i="3"/>
  <c r="H149" i="3" s="1"/>
  <c r="G137" i="3"/>
  <c r="F137" i="3"/>
  <c r="E137" i="3"/>
  <c r="D137" i="3"/>
  <c r="B137" i="3"/>
  <c r="H123" i="3"/>
  <c r="F123" i="3"/>
  <c r="E123" i="3"/>
  <c r="D123" i="3"/>
  <c r="B123" i="3"/>
  <c r="K122" i="3"/>
  <c r="J122" i="3"/>
  <c r="L122" i="3" s="1"/>
  <c r="I122" i="3"/>
  <c r="G122" i="3"/>
  <c r="C122" i="3"/>
  <c r="K121" i="3"/>
  <c r="J121" i="3"/>
  <c r="L121" i="3" s="1"/>
  <c r="I121" i="3"/>
  <c r="G121" i="3"/>
  <c r="C121" i="3"/>
  <c r="K120" i="3"/>
  <c r="J120" i="3"/>
  <c r="L120" i="3" s="1"/>
  <c r="I120" i="3"/>
  <c r="G120" i="3"/>
  <c r="C120" i="3"/>
  <c r="K119" i="3"/>
  <c r="J119" i="3"/>
  <c r="L119" i="3" s="1"/>
  <c r="I119" i="3"/>
  <c r="G119" i="3"/>
  <c r="C119" i="3"/>
  <c r="L118" i="3"/>
  <c r="K118" i="3"/>
  <c r="J118" i="3"/>
  <c r="I118" i="3"/>
  <c r="G118" i="3"/>
  <c r="C118" i="3"/>
  <c r="K117" i="3"/>
  <c r="J117" i="3"/>
  <c r="L117" i="3" s="1"/>
  <c r="I117" i="3"/>
  <c r="M117" i="3" s="1"/>
  <c r="G117" i="3"/>
  <c r="C117" i="3"/>
  <c r="L116" i="3"/>
  <c r="I116" i="3"/>
  <c r="G116" i="3"/>
  <c r="C116" i="3"/>
  <c r="L115" i="3"/>
  <c r="I115" i="3"/>
  <c r="G115" i="3"/>
  <c r="C115" i="3"/>
  <c r="K114" i="3"/>
  <c r="J114" i="3"/>
  <c r="L114" i="3" s="1"/>
  <c r="I114" i="3"/>
  <c r="G114" i="3"/>
  <c r="C114" i="3"/>
  <c r="K113" i="3"/>
  <c r="J113" i="3"/>
  <c r="L113" i="3" s="1"/>
  <c r="I113" i="3"/>
  <c r="G113" i="3"/>
  <c r="C113" i="3"/>
  <c r="K112" i="3"/>
  <c r="J112" i="3"/>
  <c r="L112" i="3" s="1"/>
  <c r="I112" i="3"/>
  <c r="G112" i="3"/>
  <c r="C112" i="3"/>
  <c r="L111" i="3"/>
  <c r="K111" i="3"/>
  <c r="J111" i="3"/>
  <c r="I111" i="3"/>
  <c r="G111" i="3"/>
  <c r="C111" i="3"/>
  <c r="M107" i="3"/>
  <c r="L107" i="3"/>
  <c r="K107" i="3"/>
  <c r="J107" i="3"/>
  <c r="I107" i="3"/>
  <c r="H107" i="3"/>
  <c r="G107" i="3"/>
  <c r="F107" i="3"/>
  <c r="E107" i="3"/>
  <c r="D107" i="3"/>
  <c r="B107" i="3"/>
  <c r="C106" i="3"/>
  <c r="C105" i="3"/>
  <c r="M121" i="3" s="1"/>
  <c r="C104" i="3"/>
  <c r="C103" i="3"/>
  <c r="C102" i="3"/>
  <c r="C101" i="3"/>
  <c r="C100" i="3"/>
  <c r="C99" i="3"/>
  <c r="M115" i="3" s="1"/>
  <c r="C98" i="3"/>
  <c r="M114" i="3" s="1"/>
  <c r="C97" i="3"/>
  <c r="M113" i="3" s="1"/>
  <c r="C96" i="3"/>
  <c r="C95" i="3"/>
  <c r="H81" i="3"/>
  <c r="F81" i="3"/>
  <c r="B81" i="3"/>
  <c r="K80" i="3"/>
  <c r="M80" i="3" s="1"/>
  <c r="J80" i="3"/>
  <c r="L80" i="3" s="1"/>
  <c r="I80" i="3"/>
  <c r="G80" i="3"/>
  <c r="E80" i="3"/>
  <c r="E164" i="3" s="1"/>
  <c r="D80" i="3"/>
  <c r="D164" i="3" s="1"/>
  <c r="C80" i="3"/>
  <c r="K79" i="3"/>
  <c r="J79" i="3"/>
  <c r="I79" i="3"/>
  <c r="G79" i="3"/>
  <c r="E79" i="3"/>
  <c r="E163" i="3" s="1"/>
  <c r="D79" i="3"/>
  <c r="C79" i="3"/>
  <c r="K78" i="3"/>
  <c r="J78" i="3"/>
  <c r="I78" i="3"/>
  <c r="G78" i="3"/>
  <c r="E78" i="3"/>
  <c r="E162" i="3" s="1"/>
  <c r="D78" i="3"/>
  <c r="C78" i="3"/>
  <c r="K77" i="3"/>
  <c r="J77" i="3"/>
  <c r="L77" i="3" s="1"/>
  <c r="I77" i="3"/>
  <c r="G77" i="3"/>
  <c r="E77" i="3"/>
  <c r="E161" i="3" s="1"/>
  <c r="D77" i="3"/>
  <c r="D161" i="3" s="1"/>
  <c r="C77" i="3"/>
  <c r="K76" i="3"/>
  <c r="J76" i="3"/>
  <c r="I76" i="3"/>
  <c r="G76" i="3"/>
  <c r="E76" i="3"/>
  <c r="E160" i="3" s="1"/>
  <c r="D76" i="3"/>
  <c r="D160" i="3" s="1"/>
  <c r="C76" i="3"/>
  <c r="K75" i="3"/>
  <c r="J75" i="3"/>
  <c r="I75" i="3"/>
  <c r="G75" i="3"/>
  <c r="E75" i="3"/>
  <c r="E159" i="3" s="1"/>
  <c r="D75" i="3"/>
  <c r="L75" i="3" s="1"/>
  <c r="C75" i="3"/>
  <c r="L74" i="3"/>
  <c r="I74" i="3"/>
  <c r="G74" i="3"/>
  <c r="C74" i="3"/>
  <c r="L73" i="3"/>
  <c r="I73" i="3"/>
  <c r="G73" i="3"/>
  <c r="C73" i="3"/>
  <c r="K72" i="3"/>
  <c r="J72" i="3"/>
  <c r="I72" i="3"/>
  <c r="G72" i="3"/>
  <c r="E72" i="3"/>
  <c r="E156" i="3" s="1"/>
  <c r="D72" i="3"/>
  <c r="D156" i="3" s="1"/>
  <c r="C72" i="3"/>
  <c r="K71" i="3"/>
  <c r="J71" i="3"/>
  <c r="I71" i="3"/>
  <c r="G71" i="3"/>
  <c r="E71" i="3"/>
  <c r="E155" i="3" s="1"/>
  <c r="D71" i="3"/>
  <c r="D155" i="3" s="1"/>
  <c r="C71" i="3"/>
  <c r="K70" i="3"/>
  <c r="J70" i="3"/>
  <c r="J154" i="3" s="1"/>
  <c r="I70" i="3"/>
  <c r="G70" i="3"/>
  <c r="E70" i="3"/>
  <c r="E154" i="3" s="1"/>
  <c r="D70" i="3"/>
  <c r="L70" i="3" s="1"/>
  <c r="C70" i="3"/>
  <c r="K69" i="3"/>
  <c r="J69" i="3"/>
  <c r="I69" i="3"/>
  <c r="G69" i="3"/>
  <c r="E69" i="3"/>
  <c r="D69" i="3"/>
  <c r="L69" i="3" s="1"/>
  <c r="C69" i="3"/>
  <c r="C81" i="3" s="1"/>
  <c r="M65" i="3"/>
  <c r="L65" i="3"/>
  <c r="K65" i="3"/>
  <c r="J65" i="3"/>
  <c r="I65" i="3"/>
  <c r="H65" i="3"/>
  <c r="G65" i="3"/>
  <c r="F65" i="3"/>
  <c r="E65" i="3"/>
  <c r="D65" i="3"/>
  <c r="B65" i="3"/>
  <c r="C64" i="3"/>
  <c r="C63" i="3"/>
  <c r="C62" i="3"/>
  <c r="C61" i="3"/>
  <c r="M77" i="3" s="1"/>
  <c r="C60" i="3"/>
  <c r="C59" i="3"/>
  <c r="C58" i="3"/>
  <c r="M74" i="3" s="1"/>
  <c r="C57" i="3"/>
  <c r="C56" i="3"/>
  <c r="C55" i="3"/>
  <c r="C54" i="3"/>
  <c r="C53" i="3"/>
  <c r="H39" i="3"/>
  <c r="F39" i="3"/>
  <c r="E39" i="3"/>
  <c r="D39" i="3"/>
  <c r="B39" i="3"/>
  <c r="K38" i="3"/>
  <c r="J38" i="3"/>
  <c r="L38" i="3" s="1"/>
  <c r="I38" i="3"/>
  <c r="I164" i="3" s="1"/>
  <c r="G38" i="3"/>
  <c r="G164" i="3" s="1"/>
  <c r="C38" i="3"/>
  <c r="C164" i="3" s="1"/>
  <c r="K37" i="3"/>
  <c r="K163" i="3" s="1"/>
  <c r="J37" i="3"/>
  <c r="I37" i="3"/>
  <c r="G37" i="3"/>
  <c r="C37" i="3"/>
  <c r="C163" i="3" s="1"/>
  <c r="K36" i="3"/>
  <c r="K162" i="3" s="1"/>
  <c r="J36" i="3"/>
  <c r="J162" i="3" s="1"/>
  <c r="I36" i="3"/>
  <c r="G36" i="3"/>
  <c r="C36" i="3"/>
  <c r="K35" i="3"/>
  <c r="J35" i="3"/>
  <c r="I35" i="3"/>
  <c r="I161" i="3" s="1"/>
  <c r="G35" i="3"/>
  <c r="G161" i="3" s="1"/>
  <c r="C35" i="3"/>
  <c r="C161" i="3" s="1"/>
  <c r="K34" i="3"/>
  <c r="K160" i="3" s="1"/>
  <c r="J34" i="3"/>
  <c r="I34" i="3"/>
  <c r="G34" i="3"/>
  <c r="G160" i="3" s="1"/>
  <c r="C34" i="3"/>
  <c r="C160" i="3" s="1"/>
  <c r="M33" i="3"/>
  <c r="L33" i="3"/>
  <c r="L159" i="3" s="1"/>
  <c r="K33" i="3"/>
  <c r="J33" i="3"/>
  <c r="J159" i="3" s="1"/>
  <c r="I33" i="3"/>
  <c r="G33" i="3"/>
  <c r="C33" i="3"/>
  <c r="C159" i="3" s="1"/>
  <c r="L32" i="3"/>
  <c r="L158" i="3" s="1"/>
  <c r="I32" i="3"/>
  <c r="I158" i="3" s="1"/>
  <c r="G32" i="3"/>
  <c r="G158" i="3" s="1"/>
  <c r="C32" i="3"/>
  <c r="L31" i="3"/>
  <c r="I31" i="3"/>
  <c r="G31" i="3"/>
  <c r="G157" i="3" s="1"/>
  <c r="C31" i="3"/>
  <c r="L30" i="3"/>
  <c r="I30" i="3"/>
  <c r="I156" i="3" s="1"/>
  <c r="G30" i="3"/>
  <c r="C30" i="3"/>
  <c r="C156" i="3" s="1"/>
  <c r="L29" i="3"/>
  <c r="K29" i="3"/>
  <c r="K155" i="3" s="1"/>
  <c r="I29" i="3"/>
  <c r="G29" i="3"/>
  <c r="G155" i="3" s="1"/>
  <c r="C29" i="3"/>
  <c r="C155" i="3" s="1"/>
  <c r="L28" i="3"/>
  <c r="K28" i="3"/>
  <c r="K154" i="3" s="1"/>
  <c r="I28" i="3"/>
  <c r="I154" i="3" s="1"/>
  <c r="G28" i="3"/>
  <c r="G154" i="3" s="1"/>
  <c r="C28" i="3"/>
  <c r="C154" i="3" s="1"/>
  <c r="K27" i="3"/>
  <c r="K153" i="3" s="1"/>
  <c r="J27" i="3"/>
  <c r="J153" i="3" s="1"/>
  <c r="I27" i="3"/>
  <c r="I153" i="3" s="1"/>
  <c r="G27" i="3"/>
  <c r="G153" i="3" s="1"/>
  <c r="C27" i="3"/>
  <c r="M23" i="3"/>
  <c r="L23" i="3"/>
  <c r="K23" i="3"/>
  <c r="J23" i="3"/>
  <c r="I23" i="3"/>
  <c r="H23" i="3"/>
  <c r="G23" i="3"/>
  <c r="F23" i="3"/>
  <c r="D23" i="3"/>
  <c r="B23" i="3"/>
  <c r="C22" i="3"/>
  <c r="C21" i="3"/>
  <c r="M37" i="3" s="1"/>
  <c r="C20" i="3"/>
  <c r="C19" i="3"/>
  <c r="C18" i="3"/>
  <c r="C144" i="3" s="1"/>
  <c r="C17" i="3"/>
  <c r="C16" i="3"/>
  <c r="C15" i="3"/>
  <c r="C14" i="3"/>
  <c r="M30" i="3" s="1"/>
  <c r="C13" i="3"/>
  <c r="C139" i="3" s="1"/>
  <c r="C12" i="3"/>
  <c r="C11" i="3"/>
  <c r="H164" i="2"/>
  <c r="F164" i="2"/>
  <c r="B164" i="2"/>
  <c r="H163" i="2"/>
  <c r="F163" i="2"/>
  <c r="B163" i="2"/>
  <c r="H162" i="2"/>
  <c r="F162" i="2"/>
  <c r="B162" i="2"/>
  <c r="H161" i="2"/>
  <c r="F161" i="2"/>
  <c r="B161" i="2"/>
  <c r="H160" i="2"/>
  <c r="F160" i="2"/>
  <c r="B160" i="2"/>
  <c r="H159" i="2"/>
  <c r="F159" i="2"/>
  <c r="B159" i="2"/>
  <c r="H158" i="2"/>
  <c r="F158" i="2"/>
  <c r="B158" i="2"/>
  <c r="H157" i="2"/>
  <c r="F157" i="2"/>
  <c r="B157" i="2"/>
  <c r="H156" i="2"/>
  <c r="F156" i="2"/>
  <c r="B156" i="2"/>
  <c r="H155" i="2"/>
  <c r="F155" i="2"/>
  <c r="C155" i="2"/>
  <c r="B155" i="2"/>
  <c r="H154" i="2"/>
  <c r="F154" i="2"/>
  <c r="B154" i="2"/>
  <c r="H153" i="2"/>
  <c r="F153" i="2"/>
  <c r="C153" i="2"/>
  <c r="B153" i="2"/>
  <c r="B165" i="2" s="1"/>
  <c r="M148" i="2"/>
  <c r="L148" i="2"/>
  <c r="K148" i="2"/>
  <c r="J148" i="2"/>
  <c r="I148" i="2"/>
  <c r="H148" i="2"/>
  <c r="G148" i="2"/>
  <c r="F148" i="2"/>
  <c r="E148" i="2"/>
  <c r="D148" i="2"/>
  <c r="B148" i="2"/>
  <c r="M147" i="2"/>
  <c r="L147" i="2"/>
  <c r="K147" i="2"/>
  <c r="J147" i="2"/>
  <c r="I147" i="2"/>
  <c r="H147" i="2"/>
  <c r="G147" i="2"/>
  <c r="F147" i="2"/>
  <c r="E147" i="2"/>
  <c r="D147" i="2"/>
  <c r="B147" i="2"/>
  <c r="M146" i="2"/>
  <c r="L146" i="2"/>
  <c r="K146" i="2"/>
  <c r="J146" i="2"/>
  <c r="I146" i="2"/>
  <c r="H146" i="2"/>
  <c r="G146" i="2"/>
  <c r="F146" i="2"/>
  <c r="E146" i="2"/>
  <c r="D146" i="2"/>
  <c r="B146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4" i="2"/>
  <c r="L144" i="2"/>
  <c r="K144" i="2"/>
  <c r="J144" i="2"/>
  <c r="I144" i="2"/>
  <c r="H144" i="2"/>
  <c r="G144" i="2"/>
  <c r="F144" i="2"/>
  <c r="E144" i="2"/>
  <c r="D144" i="2"/>
  <c r="B144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42" i="2"/>
  <c r="L142" i="2"/>
  <c r="K142" i="2"/>
  <c r="J142" i="2"/>
  <c r="I142" i="2"/>
  <c r="H142" i="2"/>
  <c r="G142" i="2"/>
  <c r="F142" i="2"/>
  <c r="E142" i="2"/>
  <c r="D142" i="2"/>
  <c r="B142" i="2"/>
  <c r="M141" i="2"/>
  <c r="L141" i="2"/>
  <c r="K141" i="2"/>
  <c r="J141" i="2"/>
  <c r="I141" i="2"/>
  <c r="H141" i="2"/>
  <c r="G141" i="2"/>
  <c r="F141" i="2"/>
  <c r="E141" i="2"/>
  <c r="D141" i="2"/>
  <c r="B141" i="2"/>
  <c r="M140" i="2"/>
  <c r="L140" i="2"/>
  <c r="K140" i="2"/>
  <c r="J140" i="2"/>
  <c r="I140" i="2"/>
  <c r="H140" i="2"/>
  <c r="G140" i="2"/>
  <c r="F140" i="2"/>
  <c r="E140" i="2"/>
  <c r="D140" i="2"/>
  <c r="B140" i="2"/>
  <c r="M139" i="2"/>
  <c r="L139" i="2"/>
  <c r="K139" i="2"/>
  <c r="J139" i="2"/>
  <c r="I139" i="2"/>
  <c r="H139" i="2"/>
  <c r="G139" i="2"/>
  <c r="F139" i="2"/>
  <c r="E139" i="2"/>
  <c r="D139" i="2"/>
  <c r="B139" i="2"/>
  <c r="M138" i="2"/>
  <c r="L138" i="2"/>
  <c r="K138" i="2"/>
  <c r="J138" i="2"/>
  <c r="I138" i="2"/>
  <c r="H138" i="2"/>
  <c r="G138" i="2"/>
  <c r="F138" i="2"/>
  <c r="E138" i="2"/>
  <c r="D138" i="2"/>
  <c r="B138" i="2"/>
  <c r="M137" i="2"/>
  <c r="L137" i="2"/>
  <c r="K137" i="2"/>
  <c r="J137" i="2"/>
  <c r="J149" i="2" s="1"/>
  <c r="I137" i="2"/>
  <c r="I149" i="2" s="1"/>
  <c r="H137" i="2"/>
  <c r="G137" i="2"/>
  <c r="F137" i="2"/>
  <c r="E137" i="2"/>
  <c r="D137" i="2"/>
  <c r="B137" i="2"/>
  <c r="H123" i="2"/>
  <c r="F123" i="2"/>
  <c r="E123" i="2"/>
  <c r="D123" i="2"/>
  <c r="B123" i="2"/>
  <c r="K122" i="2"/>
  <c r="J122" i="2"/>
  <c r="L122" i="2" s="1"/>
  <c r="I122" i="2"/>
  <c r="G122" i="2"/>
  <c r="C122" i="2"/>
  <c r="K121" i="2"/>
  <c r="J121" i="2"/>
  <c r="L121" i="2" s="1"/>
  <c r="I121" i="2"/>
  <c r="G121" i="2"/>
  <c r="C121" i="2"/>
  <c r="K120" i="2"/>
  <c r="J120" i="2"/>
  <c r="L120" i="2" s="1"/>
  <c r="I120" i="2"/>
  <c r="G120" i="2"/>
  <c r="C120" i="2"/>
  <c r="L119" i="2"/>
  <c r="K119" i="2"/>
  <c r="J119" i="2"/>
  <c r="I119" i="2"/>
  <c r="G119" i="2"/>
  <c r="C119" i="2"/>
  <c r="L118" i="2"/>
  <c r="K118" i="2"/>
  <c r="J118" i="2"/>
  <c r="I118" i="2"/>
  <c r="G118" i="2"/>
  <c r="C118" i="2"/>
  <c r="K117" i="2"/>
  <c r="J117" i="2"/>
  <c r="L117" i="2" s="1"/>
  <c r="I117" i="2"/>
  <c r="G117" i="2"/>
  <c r="C117" i="2"/>
  <c r="K116" i="2"/>
  <c r="J116" i="2"/>
  <c r="L116" i="2" s="1"/>
  <c r="I116" i="2"/>
  <c r="G116" i="2"/>
  <c r="C116" i="2"/>
  <c r="L115" i="2"/>
  <c r="K115" i="2"/>
  <c r="J115" i="2"/>
  <c r="I115" i="2"/>
  <c r="G115" i="2"/>
  <c r="C115" i="2"/>
  <c r="C157" i="2" s="1"/>
  <c r="K114" i="2"/>
  <c r="J114" i="2"/>
  <c r="I114" i="2"/>
  <c r="G114" i="2"/>
  <c r="C114" i="2"/>
  <c r="K113" i="2"/>
  <c r="J113" i="2"/>
  <c r="L113" i="2" s="1"/>
  <c r="I113" i="2"/>
  <c r="M113" i="2" s="1"/>
  <c r="G113" i="2"/>
  <c r="C113" i="2"/>
  <c r="L112" i="2"/>
  <c r="K112" i="2"/>
  <c r="J112" i="2"/>
  <c r="I112" i="2"/>
  <c r="G112" i="2"/>
  <c r="C112" i="2"/>
  <c r="K111" i="2"/>
  <c r="J111" i="2"/>
  <c r="L111" i="2" s="1"/>
  <c r="I111" i="2"/>
  <c r="G111" i="2"/>
  <c r="C111" i="2"/>
  <c r="M107" i="2"/>
  <c r="L107" i="2"/>
  <c r="K107" i="2"/>
  <c r="J107" i="2"/>
  <c r="I107" i="2"/>
  <c r="H107" i="2"/>
  <c r="G107" i="2"/>
  <c r="F107" i="2"/>
  <c r="E107" i="2"/>
  <c r="D107" i="2"/>
  <c r="B107" i="2"/>
  <c r="C106" i="2"/>
  <c r="C105" i="2"/>
  <c r="C104" i="2"/>
  <c r="M120" i="2" s="1"/>
  <c r="C103" i="2"/>
  <c r="C102" i="2"/>
  <c r="C101" i="2"/>
  <c r="C100" i="2"/>
  <c r="C99" i="2"/>
  <c r="M115" i="2" s="1"/>
  <c r="C98" i="2"/>
  <c r="C97" i="2"/>
  <c r="C96" i="2"/>
  <c r="C95" i="2"/>
  <c r="H81" i="2"/>
  <c r="F81" i="2"/>
  <c r="B81" i="2"/>
  <c r="K80" i="2"/>
  <c r="J80" i="2"/>
  <c r="I80" i="2"/>
  <c r="G80" i="2"/>
  <c r="E80" i="2"/>
  <c r="E164" i="2" s="1"/>
  <c r="D80" i="2"/>
  <c r="C80" i="2"/>
  <c r="L79" i="2"/>
  <c r="K79" i="2"/>
  <c r="J79" i="2"/>
  <c r="I79" i="2"/>
  <c r="G79" i="2"/>
  <c r="E79" i="2"/>
  <c r="E163" i="2" s="1"/>
  <c r="D79" i="2"/>
  <c r="D163" i="2" s="1"/>
  <c r="C79" i="2"/>
  <c r="L78" i="2"/>
  <c r="K78" i="2"/>
  <c r="J78" i="2"/>
  <c r="I78" i="2"/>
  <c r="G78" i="2"/>
  <c r="E78" i="2"/>
  <c r="E162" i="2" s="1"/>
  <c r="D78" i="2"/>
  <c r="D162" i="2" s="1"/>
  <c r="C78" i="2"/>
  <c r="K77" i="2"/>
  <c r="J77" i="2"/>
  <c r="I77" i="2"/>
  <c r="G77" i="2"/>
  <c r="E77" i="2"/>
  <c r="E161" i="2" s="1"/>
  <c r="D77" i="2"/>
  <c r="C77" i="2"/>
  <c r="K76" i="2"/>
  <c r="J76" i="2"/>
  <c r="I76" i="2"/>
  <c r="G76" i="2"/>
  <c r="E76" i="2"/>
  <c r="E160" i="2" s="1"/>
  <c r="D76" i="2"/>
  <c r="C76" i="2"/>
  <c r="K75" i="2"/>
  <c r="J75" i="2"/>
  <c r="I75" i="2"/>
  <c r="G75" i="2"/>
  <c r="E75" i="2"/>
  <c r="E159" i="2" s="1"/>
  <c r="D75" i="2"/>
  <c r="D159" i="2" s="1"/>
  <c r="C75" i="2"/>
  <c r="K74" i="2"/>
  <c r="J74" i="2"/>
  <c r="I74" i="2"/>
  <c r="G74" i="2"/>
  <c r="E74" i="2"/>
  <c r="E158" i="2" s="1"/>
  <c r="D74" i="2"/>
  <c r="D158" i="2" s="1"/>
  <c r="C74" i="2"/>
  <c r="K73" i="2"/>
  <c r="J73" i="2"/>
  <c r="I73" i="2"/>
  <c r="G73" i="2"/>
  <c r="E73" i="2"/>
  <c r="E157" i="2" s="1"/>
  <c r="D73" i="2"/>
  <c r="L73" i="2" s="1"/>
  <c r="C73" i="2"/>
  <c r="K72" i="2"/>
  <c r="J72" i="2"/>
  <c r="I72" i="2"/>
  <c r="G72" i="2"/>
  <c r="E72" i="2"/>
  <c r="E156" i="2" s="1"/>
  <c r="D72" i="2"/>
  <c r="L72" i="2" s="1"/>
  <c r="C72" i="2"/>
  <c r="K71" i="2"/>
  <c r="J71" i="2"/>
  <c r="I71" i="2"/>
  <c r="G71" i="2"/>
  <c r="E71" i="2"/>
  <c r="E155" i="2" s="1"/>
  <c r="D71" i="2"/>
  <c r="D155" i="2" s="1"/>
  <c r="C71" i="2"/>
  <c r="K70" i="2"/>
  <c r="J70" i="2"/>
  <c r="I70" i="2"/>
  <c r="G70" i="2"/>
  <c r="E70" i="2"/>
  <c r="E154" i="2" s="1"/>
  <c r="D70" i="2"/>
  <c r="D154" i="2" s="1"/>
  <c r="C70" i="2"/>
  <c r="K69" i="2"/>
  <c r="J69" i="2"/>
  <c r="I69" i="2"/>
  <c r="G69" i="2"/>
  <c r="E69" i="2"/>
  <c r="E153" i="2" s="1"/>
  <c r="D69" i="2"/>
  <c r="L69" i="2" s="1"/>
  <c r="C69" i="2"/>
  <c r="C81" i="2" s="1"/>
  <c r="M65" i="2"/>
  <c r="L65" i="2"/>
  <c r="K65" i="2"/>
  <c r="J65" i="2"/>
  <c r="I65" i="2"/>
  <c r="H65" i="2"/>
  <c r="G65" i="2"/>
  <c r="F65" i="2"/>
  <c r="E65" i="2"/>
  <c r="D65" i="2"/>
  <c r="B65" i="2"/>
  <c r="C64" i="2"/>
  <c r="C63" i="2"/>
  <c r="C147" i="2" s="1"/>
  <c r="C62" i="2"/>
  <c r="C61" i="2"/>
  <c r="C60" i="2"/>
  <c r="M76" i="2" s="1"/>
  <c r="C59" i="2"/>
  <c r="C58" i="2"/>
  <c r="C57" i="2"/>
  <c r="C56" i="2"/>
  <c r="C55" i="2"/>
  <c r="M71" i="2" s="1"/>
  <c r="C54" i="2"/>
  <c r="C53" i="2"/>
  <c r="C65" i="2" s="1"/>
  <c r="H39" i="2"/>
  <c r="F39" i="2"/>
  <c r="E39" i="2"/>
  <c r="D39" i="2"/>
  <c r="B39" i="2"/>
  <c r="K38" i="2"/>
  <c r="K164" i="2" s="1"/>
  <c r="J38" i="2"/>
  <c r="L38" i="2" s="1"/>
  <c r="I38" i="2"/>
  <c r="G38" i="2"/>
  <c r="C38" i="2"/>
  <c r="C164" i="2" s="1"/>
  <c r="K37" i="2"/>
  <c r="J37" i="2"/>
  <c r="I37" i="2"/>
  <c r="I163" i="2" s="1"/>
  <c r="G37" i="2"/>
  <c r="G163" i="2" s="1"/>
  <c r="C37" i="2"/>
  <c r="C163" i="2" s="1"/>
  <c r="K36" i="2"/>
  <c r="K162" i="2" s="1"/>
  <c r="J36" i="2"/>
  <c r="I36" i="2"/>
  <c r="G36" i="2"/>
  <c r="C36" i="2"/>
  <c r="C162" i="2" s="1"/>
  <c r="L35" i="2"/>
  <c r="K35" i="2"/>
  <c r="J35" i="2"/>
  <c r="J161" i="2" s="1"/>
  <c r="I35" i="2"/>
  <c r="I161" i="2" s="1"/>
  <c r="G35" i="2"/>
  <c r="C35" i="2"/>
  <c r="C161" i="2" s="1"/>
  <c r="K34" i="2"/>
  <c r="J34" i="2"/>
  <c r="I34" i="2"/>
  <c r="I160" i="2" s="1"/>
  <c r="G34" i="2"/>
  <c r="G160" i="2" s="1"/>
  <c r="C34" i="2"/>
  <c r="K33" i="2"/>
  <c r="J33" i="2"/>
  <c r="L33" i="2" s="1"/>
  <c r="I33" i="2"/>
  <c r="I159" i="2" s="1"/>
  <c r="G33" i="2"/>
  <c r="C33" i="2"/>
  <c r="C159" i="2" s="1"/>
  <c r="K32" i="2"/>
  <c r="K158" i="2" s="1"/>
  <c r="J32" i="2"/>
  <c r="I32" i="2"/>
  <c r="G32" i="2"/>
  <c r="G158" i="2" s="1"/>
  <c r="C32" i="2"/>
  <c r="C158" i="2" s="1"/>
  <c r="K31" i="2"/>
  <c r="K157" i="2" s="1"/>
  <c r="J31" i="2"/>
  <c r="J157" i="2" s="1"/>
  <c r="I31" i="2"/>
  <c r="G31" i="2"/>
  <c r="G157" i="2" s="1"/>
  <c r="C31" i="2"/>
  <c r="K30" i="2"/>
  <c r="K156" i="2" s="1"/>
  <c r="J30" i="2"/>
  <c r="J156" i="2" s="1"/>
  <c r="I30" i="2"/>
  <c r="G30" i="2"/>
  <c r="G156" i="2" s="1"/>
  <c r="C30" i="2"/>
  <c r="C156" i="2" s="1"/>
  <c r="L29" i="2"/>
  <c r="K29" i="2"/>
  <c r="K155" i="2" s="1"/>
  <c r="J29" i="2"/>
  <c r="J155" i="2" s="1"/>
  <c r="I29" i="2"/>
  <c r="G29" i="2"/>
  <c r="C29" i="2"/>
  <c r="K28" i="2"/>
  <c r="K154" i="2" s="1"/>
  <c r="J28" i="2"/>
  <c r="J154" i="2" s="1"/>
  <c r="I28" i="2"/>
  <c r="I154" i="2" s="1"/>
  <c r="G28" i="2"/>
  <c r="C28" i="2"/>
  <c r="C154" i="2" s="1"/>
  <c r="K27" i="2"/>
  <c r="K153" i="2" s="1"/>
  <c r="J27" i="2"/>
  <c r="J153" i="2" s="1"/>
  <c r="I27" i="2"/>
  <c r="I153" i="2" s="1"/>
  <c r="G27" i="2"/>
  <c r="G153" i="2" s="1"/>
  <c r="C27" i="2"/>
  <c r="M23" i="2"/>
  <c r="L23" i="2"/>
  <c r="K23" i="2"/>
  <c r="J23" i="2"/>
  <c r="I23" i="2"/>
  <c r="H23" i="2"/>
  <c r="G23" i="2"/>
  <c r="F23" i="2"/>
  <c r="D23" i="2"/>
  <c r="B23" i="2"/>
  <c r="C22" i="2"/>
  <c r="C21" i="2"/>
  <c r="M37" i="2" s="1"/>
  <c r="C20" i="2"/>
  <c r="C146" i="2" s="1"/>
  <c r="C19" i="2"/>
  <c r="C18" i="2"/>
  <c r="C144" i="2" s="1"/>
  <c r="C17" i="2"/>
  <c r="M33" i="2" s="1"/>
  <c r="C16" i="2"/>
  <c r="M32" i="2" s="1"/>
  <c r="C15" i="2"/>
  <c r="C14" i="2"/>
  <c r="C13" i="2"/>
  <c r="C12" i="2"/>
  <c r="M28" i="2" s="1"/>
  <c r="C11" i="2"/>
  <c r="H164" i="1"/>
  <c r="F164" i="1"/>
  <c r="B164" i="1"/>
  <c r="H163" i="1"/>
  <c r="F163" i="1"/>
  <c r="B163" i="1"/>
  <c r="H162" i="1"/>
  <c r="F162" i="1"/>
  <c r="B162" i="1"/>
  <c r="H161" i="1"/>
  <c r="F161" i="1"/>
  <c r="B161" i="1"/>
  <c r="H160" i="1"/>
  <c r="F160" i="1"/>
  <c r="B160" i="1"/>
  <c r="H159" i="1"/>
  <c r="F159" i="1"/>
  <c r="B159" i="1"/>
  <c r="H158" i="1"/>
  <c r="F158" i="1"/>
  <c r="B158" i="1"/>
  <c r="H157" i="1"/>
  <c r="F157" i="1"/>
  <c r="B157" i="1"/>
  <c r="H156" i="1"/>
  <c r="F156" i="1"/>
  <c r="B156" i="1"/>
  <c r="H155" i="1"/>
  <c r="F155" i="1"/>
  <c r="B155" i="1"/>
  <c r="H154" i="1"/>
  <c r="F154" i="1"/>
  <c r="B154" i="1"/>
  <c r="H153" i="1"/>
  <c r="F153" i="1"/>
  <c r="B153" i="1"/>
  <c r="L148" i="1"/>
  <c r="J148" i="1"/>
  <c r="H148" i="1"/>
  <c r="F148" i="1"/>
  <c r="D148" i="1"/>
  <c r="B148" i="1"/>
  <c r="L147" i="1"/>
  <c r="J147" i="1"/>
  <c r="H147" i="1"/>
  <c r="F147" i="1"/>
  <c r="D147" i="1"/>
  <c r="B147" i="1"/>
  <c r="L146" i="1"/>
  <c r="J146" i="1"/>
  <c r="H146" i="1"/>
  <c r="F146" i="1"/>
  <c r="D146" i="1"/>
  <c r="B146" i="1"/>
  <c r="L145" i="1"/>
  <c r="J145" i="1"/>
  <c r="H145" i="1"/>
  <c r="F145" i="1"/>
  <c r="D145" i="1"/>
  <c r="B145" i="1"/>
  <c r="L144" i="1"/>
  <c r="J144" i="1"/>
  <c r="H144" i="1"/>
  <c r="F144" i="1"/>
  <c r="D144" i="1"/>
  <c r="B144" i="1"/>
  <c r="L143" i="1"/>
  <c r="J143" i="1"/>
  <c r="H143" i="1"/>
  <c r="F143" i="1"/>
  <c r="D143" i="1"/>
  <c r="B143" i="1"/>
  <c r="L142" i="1"/>
  <c r="J142" i="1"/>
  <c r="H142" i="1"/>
  <c r="F142" i="1"/>
  <c r="D142" i="1"/>
  <c r="B142" i="1"/>
  <c r="L141" i="1"/>
  <c r="J141" i="1"/>
  <c r="H141" i="1"/>
  <c r="F141" i="1"/>
  <c r="D141" i="1"/>
  <c r="B141" i="1"/>
  <c r="L140" i="1"/>
  <c r="J140" i="1"/>
  <c r="H140" i="1"/>
  <c r="F140" i="1"/>
  <c r="D140" i="1"/>
  <c r="B140" i="1"/>
  <c r="L139" i="1"/>
  <c r="J139" i="1"/>
  <c r="H139" i="1"/>
  <c r="F139" i="1"/>
  <c r="D139" i="1"/>
  <c r="B139" i="1"/>
  <c r="L138" i="1"/>
  <c r="J138" i="1"/>
  <c r="H138" i="1"/>
  <c r="F138" i="1"/>
  <c r="D138" i="1"/>
  <c r="B138" i="1"/>
  <c r="L137" i="1"/>
  <c r="L149" i="1" s="1"/>
  <c r="J137" i="1"/>
  <c r="H137" i="1"/>
  <c r="F137" i="1"/>
  <c r="F149" i="1" s="1"/>
  <c r="D137" i="1"/>
  <c r="B137" i="1"/>
  <c r="H123" i="1"/>
  <c r="F123" i="1"/>
  <c r="E123" i="1"/>
  <c r="D123" i="1"/>
  <c r="B123" i="1"/>
  <c r="K122" i="1"/>
  <c r="J122" i="1"/>
  <c r="L122" i="1" s="1"/>
  <c r="I122" i="1"/>
  <c r="G122" i="1"/>
  <c r="C122" i="1"/>
  <c r="L121" i="1"/>
  <c r="K121" i="1"/>
  <c r="J121" i="1"/>
  <c r="I121" i="1"/>
  <c r="G121" i="1"/>
  <c r="C121" i="1"/>
  <c r="K120" i="1"/>
  <c r="J120" i="1"/>
  <c r="L120" i="1" s="1"/>
  <c r="I120" i="1"/>
  <c r="G120" i="1"/>
  <c r="C120" i="1"/>
  <c r="L119" i="1"/>
  <c r="K119" i="1"/>
  <c r="J119" i="1"/>
  <c r="I119" i="1"/>
  <c r="G119" i="1"/>
  <c r="C119" i="1"/>
  <c r="K118" i="1"/>
  <c r="J118" i="1"/>
  <c r="L118" i="1" s="1"/>
  <c r="I118" i="1"/>
  <c r="G118" i="1"/>
  <c r="C118" i="1"/>
  <c r="K117" i="1"/>
  <c r="J117" i="1"/>
  <c r="L117" i="1" s="1"/>
  <c r="I117" i="1"/>
  <c r="G117" i="1"/>
  <c r="C117" i="1"/>
  <c r="L116" i="1"/>
  <c r="K116" i="1"/>
  <c r="J116" i="1"/>
  <c r="I116" i="1"/>
  <c r="G116" i="1"/>
  <c r="C116" i="1"/>
  <c r="K115" i="1"/>
  <c r="J115" i="1"/>
  <c r="L115" i="1" s="1"/>
  <c r="I115" i="1"/>
  <c r="G115" i="1"/>
  <c r="C115" i="1"/>
  <c r="K114" i="1"/>
  <c r="J114" i="1"/>
  <c r="L114" i="1" s="1"/>
  <c r="I114" i="1"/>
  <c r="G114" i="1"/>
  <c r="C114" i="1"/>
  <c r="L113" i="1"/>
  <c r="K113" i="1"/>
  <c r="J113" i="1"/>
  <c r="I113" i="1"/>
  <c r="G113" i="1"/>
  <c r="C113" i="1"/>
  <c r="K112" i="1"/>
  <c r="J112" i="1"/>
  <c r="L112" i="1" s="1"/>
  <c r="I112" i="1"/>
  <c r="G112" i="1"/>
  <c r="C112" i="1"/>
  <c r="K111" i="1"/>
  <c r="K123" i="1" s="1"/>
  <c r="J111" i="1"/>
  <c r="I111" i="1"/>
  <c r="G111" i="1"/>
  <c r="C111" i="1"/>
  <c r="L107" i="1"/>
  <c r="J107" i="1"/>
  <c r="H107" i="1"/>
  <c r="F107" i="1"/>
  <c r="D107" i="1"/>
  <c r="B107" i="1"/>
  <c r="M106" i="1"/>
  <c r="K106" i="1"/>
  <c r="I106" i="1"/>
  <c r="G106" i="1"/>
  <c r="E106" i="1"/>
  <c r="C106" i="1"/>
  <c r="M122" i="1" s="1"/>
  <c r="M105" i="1"/>
  <c r="K105" i="1"/>
  <c r="I105" i="1"/>
  <c r="G105" i="1"/>
  <c r="E105" i="1"/>
  <c r="C105" i="1"/>
  <c r="M104" i="1"/>
  <c r="K104" i="1"/>
  <c r="I104" i="1"/>
  <c r="G104" i="1"/>
  <c r="E104" i="1"/>
  <c r="C104" i="1"/>
  <c r="M103" i="1"/>
  <c r="K103" i="1"/>
  <c r="I103" i="1"/>
  <c r="G103" i="1"/>
  <c r="E103" i="1"/>
  <c r="C103" i="1"/>
  <c r="M102" i="1"/>
  <c r="K102" i="1"/>
  <c r="I102" i="1"/>
  <c r="G102" i="1"/>
  <c r="E102" i="1"/>
  <c r="C102" i="1"/>
  <c r="M118" i="1" s="1"/>
  <c r="M101" i="1"/>
  <c r="K101" i="1"/>
  <c r="I101" i="1"/>
  <c r="G101" i="1"/>
  <c r="E101" i="1"/>
  <c r="C101" i="1"/>
  <c r="M100" i="1"/>
  <c r="K100" i="1"/>
  <c r="I100" i="1"/>
  <c r="G100" i="1"/>
  <c r="E100" i="1"/>
  <c r="C100" i="1"/>
  <c r="M99" i="1"/>
  <c r="K99" i="1"/>
  <c r="I99" i="1"/>
  <c r="G99" i="1"/>
  <c r="E99" i="1"/>
  <c r="C99" i="1"/>
  <c r="M98" i="1"/>
  <c r="K98" i="1"/>
  <c r="I98" i="1"/>
  <c r="G98" i="1"/>
  <c r="E98" i="1"/>
  <c r="C98" i="1"/>
  <c r="M114" i="1" s="1"/>
  <c r="M97" i="1"/>
  <c r="K97" i="1"/>
  <c r="I97" i="1"/>
  <c r="G97" i="1"/>
  <c r="E97" i="1"/>
  <c r="C97" i="1"/>
  <c r="M96" i="1"/>
  <c r="K96" i="1"/>
  <c r="I96" i="1"/>
  <c r="G96" i="1"/>
  <c r="E96" i="1"/>
  <c r="C96" i="1"/>
  <c r="M95" i="1"/>
  <c r="K95" i="1"/>
  <c r="I95" i="1"/>
  <c r="G95" i="1"/>
  <c r="G107" i="1" s="1"/>
  <c r="E95" i="1"/>
  <c r="C95" i="1"/>
  <c r="H81" i="1"/>
  <c r="F81" i="1"/>
  <c r="B81" i="1"/>
  <c r="K80" i="1"/>
  <c r="J80" i="1"/>
  <c r="I80" i="1"/>
  <c r="G80" i="1"/>
  <c r="E80" i="1"/>
  <c r="E164" i="1" s="1"/>
  <c r="D80" i="1"/>
  <c r="L80" i="1" s="1"/>
  <c r="C80" i="1"/>
  <c r="K79" i="1"/>
  <c r="J79" i="1"/>
  <c r="I79" i="1"/>
  <c r="G79" i="1"/>
  <c r="E79" i="1"/>
  <c r="E163" i="1" s="1"/>
  <c r="D79" i="1"/>
  <c r="D163" i="1" s="1"/>
  <c r="C79" i="1"/>
  <c r="K78" i="1"/>
  <c r="J78" i="1"/>
  <c r="I78" i="1"/>
  <c r="G78" i="1"/>
  <c r="E78" i="1"/>
  <c r="E162" i="1" s="1"/>
  <c r="D78" i="1"/>
  <c r="D162" i="1" s="1"/>
  <c r="C78" i="1"/>
  <c r="K77" i="1"/>
  <c r="J77" i="1"/>
  <c r="I77" i="1"/>
  <c r="G77" i="1"/>
  <c r="E77" i="1"/>
  <c r="E161" i="1" s="1"/>
  <c r="D77" i="1"/>
  <c r="L77" i="1" s="1"/>
  <c r="C77" i="1"/>
  <c r="K76" i="1"/>
  <c r="J76" i="1"/>
  <c r="I76" i="1"/>
  <c r="G76" i="1"/>
  <c r="E76" i="1"/>
  <c r="E160" i="1" s="1"/>
  <c r="D76" i="1"/>
  <c r="L76" i="1" s="1"/>
  <c r="C76" i="1"/>
  <c r="L75" i="1"/>
  <c r="K75" i="1"/>
  <c r="J75" i="1"/>
  <c r="I75" i="1"/>
  <c r="G75" i="1"/>
  <c r="E75" i="1"/>
  <c r="E159" i="1" s="1"/>
  <c r="D75" i="1"/>
  <c r="D159" i="1" s="1"/>
  <c r="C75" i="1"/>
  <c r="L74" i="1"/>
  <c r="K74" i="1"/>
  <c r="J74" i="1"/>
  <c r="I74" i="1"/>
  <c r="G74" i="1"/>
  <c r="E74" i="1"/>
  <c r="E158" i="1" s="1"/>
  <c r="D74" i="1"/>
  <c r="D158" i="1" s="1"/>
  <c r="C74" i="1"/>
  <c r="K73" i="1"/>
  <c r="J73" i="1"/>
  <c r="I73" i="1"/>
  <c r="G73" i="1"/>
  <c r="E73" i="1"/>
  <c r="E157" i="1" s="1"/>
  <c r="D73" i="1"/>
  <c r="L73" i="1" s="1"/>
  <c r="C73" i="1"/>
  <c r="K72" i="1"/>
  <c r="J72" i="1"/>
  <c r="I72" i="1"/>
  <c r="G72" i="1"/>
  <c r="E72" i="1"/>
  <c r="E156" i="1" s="1"/>
  <c r="D72" i="1"/>
  <c r="C72" i="1"/>
  <c r="K71" i="1"/>
  <c r="J71" i="1"/>
  <c r="L71" i="1" s="1"/>
  <c r="I71" i="1"/>
  <c r="G71" i="1"/>
  <c r="E71" i="1"/>
  <c r="E155" i="1" s="1"/>
  <c r="D71" i="1"/>
  <c r="D155" i="1" s="1"/>
  <c r="C71" i="1"/>
  <c r="K70" i="1"/>
  <c r="J70" i="1"/>
  <c r="L70" i="1" s="1"/>
  <c r="I70" i="1"/>
  <c r="G70" i="1"/>
  <c r="E70" i="1"/>
  <c r="E154" i="1" s="1"/>
  <c r="D70" i="1"/>
  <c r="D154" i="1" s="1"/>
  <c r="C70" i="1"/>
  <c r="K69" i="1"/>
  <c r="J69" i="1"/>
  <c r="I69" i="1"/>
  <c r="G69" i="1"/>
  <c r="E69" i="1"/>
  <c r="E153" i="1" s="1"/>
  <c r="D69" i="1"/>
  <c r="C69" i="1"/>
  <c r="L65" i="1"/>
  <c r="J65" i="1"/>
  <c r="H65" i="1"/>
  <c r="F65" i="1"/>
  <c r="D65" i="1"/>
  <c r="B65" i="1"/>
  <c r="M64" i="1"/>
  <c r="K64" i="1"/>
  <c r="I64" i="1"/>
  <c r="G64" i="1"/>
  <c r="E64" i="1"/>
  <c r="C64" i="1"/>
  <c r="M63" i="1"/>
  <c r="K63" i="1"/>
  <c r="I63" i="1"/>
  <c r="G63" i="1"/>
  <c r="E63" i="1"/>
  <c r="C63" i="1"/>
  <c r="M62" i="1"/>
  <c r="K62" i="1"/>
  <c r="I62" i="1"/>
  <c r="G62" i="1"/>
  <c r="E62" i="1"/>
  <c r="C62" i="1"/>
  <c r="M61" i="1"/>
  <c r="K61" i="1"/>
  <c r="I61" i="1"/>
  <c r="G61" i="1"/>
  <c r="E61" i="1"/>
  <c r="C61" i="1"/>
  <c r="M60" i="1"/>
  <c r="K60" i="1"/>
  <c r="I60" i="1"/>
  <c r="G60" i="1"/>
  <c r="E60" i="1"/>
  <c r="C60" i="1"/>
  <c r="M59" i="1"/>
  <c r="K59" i="1"/>
  <c r="I59" i="1"/>
  <c r="G59" i="1"/>
  <c r="E59" i="1"/>
  <c r="C59" i="1"/>
  <c r="M58" i="1"/>
  <c r="K58" i="1"/>
  <c r="I58" i="1"/>
  <c r="G58" i="1"/>
  <c r="E58" i="1"/>
  <c r="C58" i="1"/>
  <c r="M57" i="1"/>
  <c r="K57" i="1"/>
  <c r="I57" i="1"/>
  <c r="G57" i="1"/>
  <c r="E57" i="1"/>
  <c r="C57" i="1"/>
  <c r="M56" i="1"/>
  <c r="K56" i="1"/>
  <c r="I56" i="1"/>
  <c r="G56" i="1"/>
  <c r="E56" i="1"/>
  <c r="C56" i="1"/>
  <c r="M55" i="1"/>
  <c r="K55" i="1"/>
  <c r="I55" i="1"/>
  <c r="G55" i="1"/>
  <c r="E55" i="1"/>
  <c r="C55" i="1"/>
  <c r="M54" i="1"/>
  <c r="K54" i="1"/>
  <c r="I54" i="1"/>
  <c r="G54" i="1"/>
  <c r="E54" i="1"/>
  <c r="C54" i="1"/>
  <c r="M53" i="1"/>
  <c r="K53" i="1"/>
  <c r="I53" i="1"/>
  <c r="G53" i="1"/>
  <c r="G65" i="1" s="1"/>
  <c r="E53" i="1"/>
  <c r="C53" i="1"/>
  <c r="H39" i="1"/>
  <c r="F39" i="1"/>
  <c r="E39" i="1"/>
  <c r="D39" i="1"/>
  <c r="B39" i="1"/>
  <c r="L38" i="1"/>
  <c r="L164" i="1" s="1"/>
  <c r="K38" i="1"/>
  <c r="K164" i="1" s="1"/>
  <c r="J38" i="1"/>
  <c r="J164" i="1" s="1"/>
  <c r="I38" i="1"/>
  <c r="G38" i="1"/>
  <c r="G164" i="1" s="1"/>
  <c r="C38" i="1"/>
  <c r="C164" i="1" s="1"/>
  <c r="K37" i="1"/>
  <c r="K163" i="1" s="1"/>
  <c r="J37" i="1"/>
  <c r="J163" i="1" s="1"/>
  <c r="I37" i="1"/>
  <c r="G37" i="1"/>
  <c r="G163" i="1" s="1"/>
  <c r="C37" i="1"/>
  <c r="C163" i="1" s="1"/>
  <c r="K36" i="1"/>
  <c r="K162" i="1" s="1"/>
  <c r="J36" i="1"/>
  <c r="J162" i="1" s="1"/>
  <c r="I36" i="1"/>
  <c r="I162" i="1" s="1"/>
  <c r="G36" i="1"/>
  <c r="G162" i="1" s="1"/>
  <c r="C36" i="1"/>
  <c r="C162" i="1" s="1"/>
  <c r="L35" i="1"/>
  <c r="K35" i="1"/>
  <c r="K161" i="1" s="1"/>
  <c r="J35" i="1"/>
  <c r="J161" i="1" s="1"/>
  <c r="I35" i="1"/>
  <c r="I161" i="1" s="1"/>
  <c r="G35" i="1"/>
  <c r="C35" i="1"/>
  <c r="C161" i="1" s="1"/>
  <c r="K34" i="1"/>
  <c r="K160" i="1" s="1"/>
  <c r="J34" i="1"/>
  <c r="J160" i="1" s="1"/>
  <c r="I34" i="1"/>
  <c r="I160" i="1" s="1"/>
  <c r="G34" i="1"/>
  <c r="G160" i="1" s="1"/>
  <c r="C34" i="1"/>
  <c r="C160" i="1" s="1"/>
  <c r="K33" i="1"/>
  <c r="K159" i="1" s="1"/>
  <c r="J33" i="1"/>
  <c r="J159" i="1" s="1"/>
  <c r="I33" i="1"/>
  <c r="I159" i="1" s="1"/>
  <c r="G33" i="1"/>
  <c r="G159" i="1" s="1"/>
  <c r="C33" i="1"/>
  <c r="C159" i="1" s="1"/>
  <c r="L32" i="1"/>
  <c r="K32" i="1"/>
  <c r="K158" i="1" s="1"/>
  <c r="J32" i="1"/>
  <c r="J158" i="1" s="1"/>
  <c r="I32" i="1"/>
  <c r="I158" i="1" s="1"/>
  <c r="G32" i="1"/>
  <c r="G158" i="1" s="1"/>
  <c r="C32" i="1"/>
  <c r="C158" i="1" s="1"/>
  <c r="L31" i="1"/>
  <c r="K31" i="1"/>
  <c r="K157" i="1" s="1"/>
  <c r="I31" i="1"/>
  <c r="I157" i="1" s="1"/>
  <c r="G31" i="1"/>
  <c r="G157" i="1" s="1"/>
  <c r="C31" i="1"/>
  <c r="C157" i="1" s="1"/>
  <c r="K30" i="1"/>
  <c r="K156" i="1" s="1"/>
  <c r="J30" i="1"/>
  <c r="J156" i="1" s="1"/>
  <c r="I30" i="1"/>
  <c r="I156" i="1" s="1"/>
  <c r="G30" i="1"/>
  <c r="G156" i="1" s="1"/>
  <c r="C30" i="1"/>
  <c r="L29" i="1"/>
  <c r="K29" i="1"/>
  <c r="K155" i="1" s="1"/>
  <c r="J29" i="1"/>
  <c r="I29" i="1"/>
  <c r="I155" i="1" s="1"/>
  <c r="G29" i="1"/>
  <c r="G155" i="1" s="1"/>
  <c r="C29" i="1"/>
  <c r="L28" i="1"/>
  <c r="K28" i="1"/>
  <c r="K154" i="1" s="1"/>
  <c r="J28" i="1"/>
  <c r="I28" i="1"/>
  <c r="I154" i="1" s="1"/>
  <c r="G28" i="1"/>
  <c r="G154" i="1" s="1"/>
  <c r="C28" i="1"/>
  <c r="K27" i="1"/>
  <c r="K153" i="1" s="1"/>
  <c r="J27" i="1"/>
  <c r="J153" i="1" s="1"/>
  <c r="I27" i="1"/>
  <c r="G27" i="1"/>
  <c r="G153" i="1" s="1"/>
  <c r="C27" i="1"/>
  <c r="C153" i="1" s="1"/>
  <c r="L23" i="1"/>
  <c r="J23" i="1"/>
  <c r="H23" i="1"/>
  <c r="F23" i="1"/>
  <c r="D23" i="1"/>
  <c r="B23" i="1"/>
  <c r="M22" i="1"/>
  <c r="M148" i="1" s="1"/>
  <c r="K22" i="1"/>
  <c r="K148" i="1" s="1"/>
  <c r="I22" i="1"/>
  <c r="I148" i="1" s="1"/>
  <c r="G22" i="1"/>
  <c r="G148" i="1" s="1"/>
  <c r="E22" i="1"/>
  <c r="E148" i="1" s="1"/>
  <c r="C22" i="1"/>
  <c r="M21" i="1"/>
  <c r="M147" i="1" s="1"/>
  <c r="K21" i="1"/>
  <c r="K147" i="1" s="1"/>
  <c r="I21" i="1"/>
  <c r="I147" i="1" s="1"/>
  <c r="G21" i="1"/>
  <c r="G147" i="1" s="1"/>
  <c r="E21" i="1"/>
  <c r="E147" i="1" s="1"/>
  <c r="C21" i="1"/>
  <c r="M20" i="1"/>
  <c r="M146" i="1" s="1"/>
  <c r="K20" i="1"/>
  <c r="I20" i="1"/>
  <c r="I146" i="1" s="1"/>
  <c r="G20" i="1"/>
  <c r="G146" i="1" s="1"/>
  <c r="E20" i="1"/>
  <c r="E146" i="1" s="1"/>
  <c r="C20" i="1"/>
  <c r="M19" i="1"/>
  <c r="M145" i="1" s="1"/>
  <c r="K19" i="1"/>
  <c r="K145" i="1" s="1"/>
  <c r="I19" i="1"/>
  <c r="I145" i="1" s="1"/>
  <c r="G19" i="1"/>
  <c r="E19" i="1"/>
  <c r="E145" i="1" s="1"/>
  <c r="C19" i="1"/>
  <c r="M18" i="1"/>
  <c r="M144" i="1" s="1"/>
  <c r="K18" i="1"/>
  <c r="K144" i="1" s="1"/>
  <c r="I18" i="1"/>
  <c r="I144" i="1" s="1"/>
  <c r="G18" i="1"/>
  <c r="G144" i="1" s="1"/>
  <c r="E18" i="1"/>
  <c r="E144" i="1" s="1"/>
  <c r="C18" i="1"/>
  <c r="M17" i="1"/>
  <c r="M143" i="1" s="1"/>
  <c r="K17" i="1"/>
  <c r="K143" i="1" s="1"/>
  <c r="I17" i="1"/>
  <c r="I143" i="1" s="1"/>
  <c r="G17" i="1"/>
  <c r="G143" i="1" s="1"/>
  <c r="E17" i="1"/>
  <c r="E143" i="1" s="1"/>
  <c r="C17" i="1"/>
  <c r="C143" i="1" s="1"/>
  <c r="M16" i="1"/>
  <c r="M142" i="1" s="1"/>
  <c r="K16" i="1"/>
  <c r="I16" i="1"/>
  <c r="I142" i="1" s="1"/>
  <c r="G16" i="1"/>
  <c r="G142" i="1" s="1"/>
  <c r="E16" i="1"/>
  <c r="E142" i="1" s="1"/>
  <c r="C16" i="1"/>
  <c r="M15" i="1"/>
  <c r="M141" i="1" s="1"/>
  <c r="K15" i="1"/>
  <c r="K141" i="1" s="1"/>
  <c r="I15" i="1"/>
  <c r="I141" i="1" s="1"/>
  <c r="G15" i="1"/>
  <c r="E15" i="1"/>
  <c r="E141" i="1" s="1"/>
  <c r="C15" i="1"/>
  <c r="M14" i="1"/>
  <c r="M140" i="1" s="1"/>
  <c r="K14" i="1"/>
  <c r="K140" i="1" s="1"/>
  <c r="I14" i="1"/>
  <c r="I140" i="1" s="1"/>
  <c r="G14" i="1"/>
  <c r="G140" i="1" s="1"/>
  <c r="E14" i="1"/>
  <c r="E140" i="1" s="1"/>
  <c r="C14" i="1"/>
  <c r="M13" i="1"/>
  <c r="M139" i="1" s="1"/>
  <c r="K13" i="1"/>
  <c r="K139" i="1" s="1"/>
  <c r="I13" i="1"/>
  <c r="I139" i="1" s="1"/>
  <c r="G13" i="1"/>
  <c r="G139" i="1" s="1"/>
  <c r="E13" i="1"/>
  <c r="E139" i="1" s="1"/>
  <c r="C13" i="1"/>
  <c r="M12" i="1"/>
  <c r="M138" i="1" s="1"/>
  <c r="K12" i="1"/>
  <c r="I12" i="1"/>
  <c r="I138" i="1" s="1"/>
  <c r="G12" i="1"/>
  <c r="G138" i="1" s="1"/>
  <c r="E12" i="1"/>
  <c r="E138" i="1" s="1"/>
  <c r="C12" i="1"/>
  <c r="M11" i="1"/>
  <c r="M137" i="1" s="1"/>
  <c r="K11" i="1"/>
  <c r="K137" i="1" s="1"/>
  <c r="I11" i="1"/>
  <c r="G11" i="1"/>
  <c r="E11" i="1"/>
  <c r="E137" i="1" s="1"/>
  <c r="C11" i="1"/>
  <c r="J39" i="4" l="1"/>
  <c r="C141" i="2"/>
  <c r="M28" i="1"/>
  <c r="M32" i="1"/>
  <c r="M36" i="1"/>
  <c r="C154" i="1"/>
  <c r="C165" i="1" s="1"/>
  <c r="G161" i="1"/>
  <c r="M70" i="1"/>
  <c r="M74" i="1"/>
  <c r="M78" i="1"/>
  <c r="C81" i="1"/>
  <c r="L72" i="1"/>
  <c r="I107" i="1"/>
  <c r="M107" i="1"/>
  <c r="I156" i="2"/>
  <c r="L31" i="2"/>
  <c r="L157" i="2" s="1"/>
  <c r="G159" i="2"/>
  <c r="J160" i="2"/>
  <c r="J163" i="2"/>
  <c r="M72" i="2"/>
  <c r="M80" i="2"/>
  <c r="G81" i="2"/>
  <c r="M79" i="2"/>
  <c r="M116" i="2"/>
  <c r="M158" i="2" s="1"/>
  <c r="C123" i="2"/>
  <c r="B149" i="2"/>
  <c r="K149" i="2"/>
  <c r="F165" i="2"/>
  <c r="M38" i="3"/>
  <c r="M164" i="3" s="1"/>
  <c r="L27" i="3"/>
  <c r="L153" i="3" s="1"/>
  <c r="I155" i="3"/>
  <c r="I165" i="3" s="1"/>
  <c r="J161" i="3"/>
  <c r="L36" i="3"/>
  <c r="C65" i="3"/>
  <c r="J81" i="3"/>
  <c r="M116" i="3"/>
  <c r="I149" i="3"/>
  <c r="M122" i="4"/>
  <c r="M120" i="4"/>
  <c r="M162" i="4" s="1"/>
  <c r="M117" i="4"/>
  <c r="I39" i="4"/>
  <c r="C153" i="4"/>
  <c r="K23" i="1"/>
  <c r="J155" i="1"/>
  <c r="L33" i="1"/>
  <c r="L159" i="1" s="1"/>
  <c r="I164" i="1"/>
  <c r="L69" i="1"/>
  <c r="L81" i="1" s="1"/>
  <c r="K107" i="1"/>
  <c r="M113" i="1"/>
  <c r="M117" i="1"/>
  <c r="M121" i="1"/>
  <c r="M30" i="2"/>
  <c r="M38" i="2"/>
  <c r="G155" i="2"/>
  <c r="K160" i="2"/>
  <c r="K165" i="2" s="1"/>
  <c r="M36" i="2"/>
  <c r="K163" i="2"/>
  <c r="M73" i="2"/>
  <c r="I81" i="2"/>
  <c r="J81" i="2"/>
  <c r="L74" i="2"/>
  <c r="L81" i="2" s="1"/>
  <c r="L75" i="2"/>
  <c r="L80" i="2"/>
  <c r="L164" i="2" s="1"/>
  <c r="M117" i="2"/>
  <c r="D149" i="2"/>
  <c r="L149" i="2"/>
  <c r="H165" i="2"/>
  <c r="C141" i="3"/>
  <c r="M28" i="3"/>
  <c r="I157" i="3"/>
  <c r="G159" i="3"/>
  <c r="I160" i="3"/>
  <c r="K161" i="3"/>
  <c r="L164" i="3"/>
  <c r="C138" i="3"/>
  <c r="M78" i="3"/>
  <c r="E81" i="3"/>
  <c r="M76" i="3"/>
  <c r="J149" i="3"/>
  <c r="C148" i="3"/>
  <c r="M118" i="4"/>
  <c r="M113" i="4"/>
  <c r="M116" i="4"/>
  <c r="G81" i="4"/>
  <c r="M78" i="4"/>
  <c r="L73" i="4"/>
  <c r="L157" i="4" s="1"/>
  <c r="L72" i="4"/>
  <c r="M34" i="4"/>
  <c r="G158" i="4"/>
  <c r="L155" i="4"/>
  <c r="M28" i="4"/>
  <c r="M27" i="1"/>
  <c r="M153" i="1" s="1"/>
  <c r="M31" i="1"/>
  <c r="M35" i="1"/>
  <c r="M161" i="1" s="1"/>
  <c r="M69" i="1"/>
  <c r="M73" i="1"/>
  <c r="M77" i="1"/>
  <c r="L78" i="1"/>
  <c r="L79" i="1"/>
  <c r="B149" i="1"/>
  <c r="B165" i="1"/>
  <c r="M31" i="2"/>
  <c r="M157" i="2" s="1"/>
  <c r="G154" i="2"/>
  <c r="M29" i="2"/>
  <c r="M155" i="2" s="1"/>
  <c r="L159" i="2"/>
  <c r="I162" i="2"/>
  <c r="M74" i="2"/>
  <c r="L77" i="2"/>
  <c r="M118" i="2"/>
  <c r="E149" i="2"/>
  <c r="M149" i="2"/>
  <c r="M32" i="3"/>
  <c r="L157" i="3"/>
  <c r="I159" i="3"/>
  <c r="J160" i="3"/>
  <c r="L35" i="3"/>
  <c r="L161" i="3" s="1"/>
  <c r="G163" i="3"/>
  <c r="K164" i="3"/>
  <c r="M71" i="3"/>
  <c r="M79" i="3"/>
  <c r="G81" i="3"/>
  <c r="J155" i="3"/>
  <c r="L72" i="3"/>
  <c r="L156" i="3" s="1"/>
  <c r="M118" i="3"/>
  <c r="B149" i="3"/>
  <c r="K149" i="3"/>
  <c r="L123" i="4"/>
  <c r="M73" i="4"/>
  <c r="M32" i="4"/>
  <c r="C139" i="2"/>
  <c r="E149" i="1"/>
  <c r="J154" i="1"/>
  <c r="L155" i="1"/>
  <c r="L158" i="1"/>
  <c r="E65" i="1"/>
  <c r="G81" i="1"/>
  <c r="J157" i="1"/>
  <c r="M112" i="1"/>
  <c r="M116" i="1"/>
  <c r="M120" i="1"/>
  <c r="C123" i="1"/>
  <c r="D149" i="1"/>
  <c r="F165" i="1"/>
  <c r="I158" i="2"/>
  <c r="K159" i="2"/>
  <c r="G161" i="2"/>
  <c r="J162" i="2"/>
  <c r="M75" i="2"/>
  <c r="K81" i="2"/>
  <c r="L70" i="2"/>
  <c r="L71" i="2"/>
  <c r="L76" i="2"/>
  <c r="M111" i="2"/>
  <c r="M119" i="2"/>
  <c r="G123" i="2"/>
  <c r="M121" i="2"/>
  <c r="F149" i="2"/>
  <c r="C140" i="2"/>
  <c r="C142" i="2"/>
  <c r="C148" i="2"/>
  <c r="M27" i="3"/>
  <c r="M31" i="3"/>
  <c r="I163" i="3"/>
  <c r="M72" i="3"/>
  <c r="M156" i="3" s="1"/>
  <c r="I81" i="3"/>
  <c r="K81" i="3"/>
  <c r="K156" i="3"/>
  <c r="C162" i="3"/>
  <c r="L79" i="3"/>
  <c r="C107" i="3"/>
  <c r="M119" i="3"/>
  <c r="M123" i="3" s="1"/>
  <c r="G123" i="3"/>
  <c r="D149" i="3"/>
  <c r="L149" i="3"/>
  <c r="C142" i="3"/>
  <c r="I162" i="4"/>
  <c r="J157" i="4"/>
  <c r="J165" i="4" s="1"/>
  <c r="I161" i="4"/>
  <c r="C148" i="4"/>
  <c r="C149" i="4" s="1"/>
  <c r="G137" i="1"/>
  <c r="G141" i="1"/>
  <c r="G145" i="1"/>
  <c r="C156" i="1"/>
  <c r="M72" i="1"/>
  <c r="M76" i="1"/>
  <c r="M80" i="1"/>
  <c r="I81" i="1"/>
  <c r="J81" i="1"/>
  <c r="G123" i="1"/>
  <c r="H165" i="1"/>
  <c r="J158" i="2"/>
  <c r="G164" i="2"/>
  <c r="M112" i="2"/>
  <c r="I123" i="2"/>
  <c r="G149" i="2"/>
  <c r="M34" i="3"/>
  <c r="M160" i="3" s="1"/>
  <c r="G156" i="3"/>
  <c r="G165" i="3" s="1"/>
  <c r="C158" i="3"/>
  <c r="K159" i="3"/>
  <c r="L34" i="3"/>
  <c r="G162" i="3"/>
  <c r="J163" i="3"/>
  <c r="M73" i="3"/>
  <c r="M157" i="3" s="1"/>
  <c r="L71" i="3"/>
  <c r="L155" i="3" s="1"/>
  <c r="C157" i="3"/>
  <c r="L78" i="3"/>
  <c r="M112" i="3"/>
  <c r="M120" i="3"/>
  <c r="M111" i="3"/>
  <c r="C123" i="3"/>
  <c r="E149" i="3"/>
  <c r="M149" i="3"/>
  <c r="B165" i="3"/>
  <c r="C164" i="4"/>
  <c r="M121" i="4"/>
  <c r="M112" i="4"/>
  <c r="L70" i="4"/>
  <c r="C163" i="4"/>
  <c r="M37" i="4"/>
  <c r="M163" i="4" s="1"/>
  <c r="C140" i="1"/>
  <c r="M34" i="1"/>
  <c r="M160" i="1" s="1"/>
  <c r="K146" i="1"/>
  <c r="E23" i="1"/>
  <c r="I163" i="1"/>
  <c r="I23" i="1"/>
  <c r="I153" i="1"/>
  <c r="I165" i="1" s="1"/>
  <c r="L154" i="1"/>
  <c r="L157" i="1"/>
  <c r="I65" i="1"/>
  <c r="M65" i="1"/>
  <c r="M111" i="1"/>
  <c r="M115" i="1"/>
  <c r="M119" i="1"/>
  <c r="I123" i="1"/>
  <c r="H149" i="1"/>
  <c r="M34" i="2"/>
  <c r="I157" i="2"/>
  <c r="I165" i="2" s="1"/>
  <c r="C39" i="2"/>
  <c r="I164" i="2"/>
  <c r="M69" i="2"/>
  <c r="M77" i="2"/>
  <c r="J123" i="2"/>
  <c r="H149" i="2"/>
  <c r="L154" i="3"/>
  <c r="M35" i="3"/>
  <c r="M161" i="3" s="1"/>
  <c r="I162" i="3"/>
  <c r="J123" i="3"/>
  <c r="F149" i="3"/>
  <c r="C147" i="3"/>
  <c r="F165" i="3"/>
  <c r="D153" i="4"/>
  <c r="D165" i="4" s="1"/>
  <c r="C137" i="4"/>
  <c r="I123" i="4"/>
  <c r="M77" i="4"/>
  <c r="I81" i="4"/>
  <c r="G39" i="4"/>
  <c r="K138" i="1"/>
  <c r="K149" i="1" s="1"/>
  <c r="K142" i="1"/>
  <c r="M38" i="1"/>
  <c r="M164" i="1" s="1"/>
  <c r="M29" i="1"/>
  <c r="M155" i="1" s="1"/>
  <c r="M37" i="1"/>
  <c r="G23" i="1"/>
  <c r="C155" i="1"/>
  <c r="K65" i="1"/>
  <c r="M71" i="1"/>
  <c r="M75" i="1"/>
  <c r="M79" i="1"/>
  <c r="K81" i="1"/>
  <c r="E107" i="1"/>
  <c r="J123" i="1"/>
  <c r="J149" i="1"/>
  <c r="M27" i="2"/>
  <c r="M35" i="2"/>
  <c r="L28" i="2"/>
  <c r="L154" i="2" s="1"/>
  <c r="L32" i="2"/>
  <c r="K161" i="2"/>
  <c r="C138" i="2"/>
  <c r="M78" i="2"/>
  <c r="M114" i="2"/>
  <c r="M122" i="2"/>
  <c r="K123" i="2"/>
  <c r="C23" i="3"/>
  <c r="M36" i="3"/>
  <c r="M75" i="3"/>
  <c r="M122" i="3"/>
  <c r="K123" i="3"/>
  <c r="G149" i="3"/>
  <c r="H165" i="3"/>
  <c r="M115" i="4"/>
  <c r="C107" i="4"/>
  <c r="M159" i="4"/>
  <c r="M70" i="4"/>
  <c r="L160" i="4"/>
  <c r="M156" i="4"/>
  <c r="K39" i="4"/>
  <c r="M35" i="4"/>
  <c r="M161" i="4" s="1"/>
  <c r="M123" i="4"/>
  <c r="L154" i="4"/>
  <c r="L156" i="4"/>
  <c r="G165" i="4"/>
  <c r="M154" i="4"/>
  <c r="E165" i="4"/>
  <c r="M158" i="4"/>
  <c r="L153" i="4"/>
  <c r="M160" i="4"/>
  <c r="I157" i="4"/>
  <c r="I165" i="4" s="1"/>
  <c r="C65" i="4"/>
  <c r="C39" i="4"/>
  <c r="G123" i="4"/>
  <c r="E81" i="4"/>
  <c r="M38" i="4"/>
  <c r="M164" i="4" s="1"/>
  <c r="M71" i="4"/>
  <c r="M155" i="4" s="1"/>
  <c r="D81" i="4"/>
  <c r="L39" i="4"/>
  <c r="C81" i="4"/>
  <c r="M27" i="4"/>
  <c r="C159" i="4"/>
  <c r="C165" i="4" s="1"/>
  <c r="C143" i="4"/>
  <c r="C123" i="4"/>
  <c r="J81" i="4"/>
  <c r="K155" i="4"/>
  <c r="K165" i="4" s="1"/>
  <c r="M158" i="3"/>
  <c r="M162" i="3"/>
  <c r="M159" i="3"/>
  <c r="M163" i="3"/>
  <c r="L123" i="3"/>
  <c r="K165" i="3"/>
  <c r="C39" i="3"/>
  <c r="C145" i="3"/>
  <c r="C153" i="3"/>
  <c r="M29" i="3"/>
  <c r="M155" i="3" s="1"/>
  <c r="L76" i="3"/>
  <c r="L160" i="3" s="1"/>
  <c r="D153" i="3"/>
  <c r="D154" i="3"/>
  <c r="D159" i="3"/>
  <c r="D162" i="3"/>
  <c r="D163" i="3"/>
  <c r="C140" i="3"/>
  <c r="C146" i="3"/>
  <c r="L37" i="3"/>
  <c r="L163" i="3" s="1"/>
  <c r="E153" i="3"/>
  <c r="E165" i="3" s="1"/>
  <c r="G39" i="3"/>
  <c r="M70" i="3"/>
  <c r="M154" i="3" s="1"/>
  <c r="D81" i="3"/>
  <c r="I39" i="3"/>
  <c r="I123" i="3"/>
  <c r="J39" i="3"/>
  <c r="M69" i="3"/>
  <c r="M153" i="3" s="1"/>
  <c r="J156" i="3"/>
  <c r="J165" i="3" s="1"/>
  <c r="J164" i="3"/>
  <c r="K39" i="3"/>
  <c r="C137" i="3"/>
  <c r="M156" i="2"/>
  <c r="L155" i="2"/>
  <c r="M162" i="2"/>
  <c r="M160" i="2"/>
  <c r="M161" i="2"/>
  <c r="M164" i="2"/>
  <c r="L123" i="2"/>
  <c r="M153" i="2"/>
  <c r="M163" i="2"/>
  <c r="L161" i="2"/>
  <c r="E165" i="2"/>
  <c r="M159" i="2"/>
  <c r="C160" i="2"/>
  <c r="C165" i="2" s="1"/>
  <c r="C107" i="2"/>
  <c r="C23" i="2"/>
  <c r="L30" i="2"/>
  <c r="D81" i="2"/>
  <c r="L114" i="2"/>
  <c r="D153" i="2"/>
  <c r="D156" i="2"/>
  <c r="D157" i="2"/>
  <c r="D160" i="2"/>
  <c r="D161" i="2"/>
  <c r="D164" i="2"/>
  <c r="L37" i="2"/>
  <c r="L163" i="2" s="1"/>
  <c r="E81" i="2"/>
  <c r="L27" i="2"/>
  <c r="G39" i="2"/>
  <c r="M70" i="2"/>
  <c r="M154" i="2" s="1"/>
  <c r="G162" i="2"/>
  <c r="G165" i="2" s="1"/>
  <c r="C137" i="2"/>
  <c r="C149" i="2" s="1"/>
  <c r="L34" i="2"/>
  <c r="L160" i="2" s="1"/>
  <c r="I39" i="2"/>
  <c r="I155" i="2"/>
  <c r="L36" i="2"/>
  <c r="L162" i="2" s="1"/>
  <c r="J39" i="2"/>
  <c r="J159" i="2"/>
  <c r="J165" i="2" s="1"/>
  <c r="J164" i="2"/>
  <c r="K39" i="2"/>
  <c r="E165" i="1"/>
  <c r="M149" i="1"/>
  <c r="G165" i="1"/>
  <c r="L161" i="1"/>
  <c r="M123" i="1"/>
  <c r="J165" i="1"/>
  <c r="K165" i="1"/>
  <c r="M23" i="1"/>
  <c r="M33" i="1"/>
  <c r="C39" i="1"/>
  <c r="C65" i="1"/>
  <c r="C107" i="1"/>
  <c r="C137" i="1"/>
  <c r="C138" i="1"/>
  <c r="C139" i="1"/>
  <c r="C141" i="1"/>
  <c r="C142" i="1"/>
  <c r="C144" i="1"/>
  <c r="C145" i="1"/>
  <c r="C146" i="1"/>
  <c r="C147" i="1"/>
  <c r="C148" i="1"/>
  <c r="C23" i="1"/>
  <c r="D81" i="1"/>
  <c r="D153" i="1"/>
  <c r="D156" i="1"/>
  <c r="D157" i="1"/>
  <c r="D160" i="1"/>
  <c r="D161" i="1"/>
  <c r="D164" i="1"/>
  <c r="L30" i="1"/>
  <c r="L156" i="1" s="1"/>
  <c r="L37" i="1"/>
  <c r="L163" i="1" s="1"/>
  <c r="E81" i="1"/>
  <c r="M30" i="1"/>
  <c r="M156" i="1" s="1"/>
  <c r="G39" i="1"/>
  <c r="L111" i="1"/>
  <c r="L123" i="1" s="1"/>
  <c r="L27" i="1"/>
  <c r="L34" i="1"/>
  <c r="L160" i="1" s="1"/>
  <c r="I39" i="1"/>
  <c r="I137" i="1"/>
  <c r="I149" i="1" s="1"/>
  <c r="L36" i="1"/>
  <c r="L162" i="1" s="1"/>
  <c r="J39" i="1"/>
  <c r="K39" i="1"/>
  <c r="M123" i="2" l="1"/>
  <c r="L158" i="2"/>
  <c r="G149" i="1"/>
  <c r="M157" i="1"/>
  <c r="M162" i="1"/>
  <c r="M159" i="1"/>
  <c r="M165" i="1" s="1"/>
  <c r="M39" i="2"/>
  <c r="M81" i="4"/>
  <c r="M158" i="1"/>
  <c r="C165" i="3"/>
  <c r="L81" i="4"/>
  <c r="M157" i="4"/>
  <c r="M154" i="1"/>
  <c r="L165" i="4"/>
  <c r="L162" i="3"/>
  <c r="L165" i="3" s="1"/>
  <c r="C149" i="3"/>
  <c r="M163" i="1"/>
  <c r="M81" i="1"/>
  <c r="M153" i="4"/>
  <c r="M39" i="4"/>
  <c r="D165" i="3"/>
  <c r="M39" i="3"/>
  <c r="M165" i="3"/>
  <c r="L39" i="3"/>
  <c r="L81" i="3"/>
  <c r="M81" i="3"/>
  <c r="M165" i="2"/>
  <c r="L153" i="2"/>
  <c r="L165" i="2" s="1"/>
  <c r="L39" i="2"/>
  <c r="M81" i="2"/>
  <c r="D165" i="2"/>
  <c r="L156" i="2"/>
  <c r="C149" i="1"/>
  <c r="L153" i="1"/>
  <c r="L165" i="1" s="1"/>
  <c r="L39" i="1"/>
  <c r="M39" i="1"/>
  <c r="D165" i="1"/>
  <c r="M165" i="4" l="1"/>
</calcChain>
</file>

<file path=xl/sharedStrings.xml><?xml version="1.0" encoding="utf-8"?>
<sst xmlns="http://schemas.openxmlformats.org/spreadsheetml/2006/main" count="828" uniqueCount="48">
  <si>
    <t>GATEWAY INTERNATIONAL BRIDGE</t>
  </si>
  <si>
    <t>SCHEDULE OF TOLL REVENUES</t>
  </si>
  <si>
    <t>Fiscal Year 2019    Year to Date</t>
  </si>
  <si>
    <t>CLASS</t>
  </si>
  <si>
    <t>AUTO/MTRCYC</t>
  </si>
  <si>
    <t>Auto/Motorcycle</t>
  </si>
  <si>
    <t>2X</t>
  </si>
  <si>
    <t>2X Frgt.</t>
  </si>
  <si>
    <t>3X</t>
  </si>
  <si>
    <t>3X Frgt.</t>
  </si>
  <si>
    <t>4X</t>
  </si>
  <si>
    <t>4X Frgt.</t>
  </si>
  <si>
    <t>5X</t>
  </si>
  <si>
    <t>5X Frgt.</t>
  </si>
  <si>
    <t>6X</t>
  </si>
  <si>
    <t>6X Frgt.</t>
  </si>
  <si>
    <t>RATE</t>
  </si>
  <si>
    <t>Revenue</t>
  </si>
  <si>
    <t>FY19</t>
  </si>
  <si>
    <t>BIKE</t>
  </si>
  <si>
    <t>Bike</t>
  </si>
  <si>
    <t>TRANS.</t>
  </si>
  <si>
    <t>Transmigrant</t>
  </si>
  <si>
    <t>BUS</t>
  </si>
  <si>
    <t>Bus</t>
  </si>
  <si>
    <t>PEDES.</t>
  </si>
  <si>
    <t>Pedestrian</t>
  </si>
  <si>
    <t>MISC.</t>
  </si>
  <si>
    <t>Misc.</t>
  </si>
  <si>
    <t>TOTAL</t>
  </si>
  <si>
    <t>$7.75&amp;11.25</t>
  </si>
  <si>
    <t>CROSSINGS</t>
  </si>
  <si>
    <t>REVENUE</t>
  </si>
  <si>
    <t>SOURCE:  INTERNATIONAL BRIDGE SYSTEM</t>
  </si>
  <si>
    <t>FREE TRADE BRIDGE AT LOS INDIOS</t>
  </si>
  <si>
    <t>VETERANS INTERNATIONAL BRIDGE</t>
  </si>
  <si>
    <t>INTERNATIONAL BRIDGE SYSTEM</t>
  </si>
  <si>
    <t>Fiscal Year 2020    Year to Date</t>
  </si>
  <si>
    <t>9.50&amp;11</t>
  </si>
  <si>
    <t>13.50&amp;15</t>
  </si>
  <si>
    <t>15.50&amp;17.25</t>
  </si>
  <si>
    <t>19.25&amp;22</t>
  </si>
  <si>
    <t>23.25&amp;25</t>
  </si>
  <si>
    <t>FY20</t>
  </si>
  <si>
    <t>Fiscal Year 2021    Year to Date</t>
  </si>
  <si>
    <t>FY21</t>
  </si>
  <si>
    <t>FY22</t>
  </si>
  <si>
    <t>Fiscal Year 2022   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</si>
</sst>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General_)"/>
  </numFmts>
  <fonts count="12" x14ac:knownFonts="1">
    <font>
      <sz val="10"/>
      <name val="Courier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name val="Courier"/>
      <family val="3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40" fontId="6" fillId="0" borderId="0" applyFont="0" applyFill="0" applyBorder="0" applyAlignment="0" applyProtection="0"/>
    <xf numFmtId="8" fontId="6" fillId="0" borderId="0" applyFont="0" applyFill="0" applyBorder="0" applyAlignment="0" applyProtection="0"/>
  </cellStyleXfs>
  <cellXfs count="31">
    <xf numFmtId="164" fontId="0" fillId="0" borderId="0" xfId="0"/>
    <xf numFmtId="164" fontId="0" fillId="0" borderId="0" xfId="0" applyAlignment="1">
      <alignment vertical="center"/>
    </xf>
    <xf numFmtId="164" fontId="3" fillId="0" borderId="0" xfId="0" applyFont="1" applyAlignment="1">
      <alignment horizontal="center" vertical="center"/>
    </xf>
    <xf numFmtId="164" fontId="2" fillId="0" borderId="0" xfId="0" applyFont="1" applyAlignment="1">
      <alignment vertical="center"/>
    </xf>
    <xf numFmtId="164" fontId="4" fillId="0" borderId="0" xfId="0" applyFont="1" applyAlignment="1">
      <alignment vertical="center"/>
    </xf>
    <xf numFmtId="164" fontId="5" fillId="2" borderId="1" xfId="0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8" fontId="5" fillId="2" borderId="5" xfId="2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8" fontId="5" fillId="2" borderId="4" xfId="2" applyFont="1" applyFill="1" applyBorder="1" applyAlignment="1">
      <alignment horizontal="center" vertical="center"/>
    </xf>
    <xf numFmtId="17" fontId="4" fillId="0" borderId="7" xfId="0" applyNumberFormat="1" applyFont="1" applyBorder="1" applyAlignment="1">
      <alignment horizontal="center" vertical="center"/>
    </xf>
    <xf numFmtId="38" fontId="7" fillId="0" borderId="8" xfId="1" applyNumberFormat="1" applyFont="1" applyFill="1" applyBorder="1" applyAlignment="1">
      <alignment horizontal="center" vertical="center"/>
    </xf>
    <xf numFmtId="8" fontId="7" fillId="0" borderId="9" xfId="2" applyFont="1" applyFill="1" applyBorder="1" applyAlignment="1">
      <alignment horizontal="center" vertical="center"/>
    </xf>
    <xf numFmtId="17" fontId="5" fillId="0" borderId="5" xfId="0" applyNumberFormat="1" applyFont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/>
    </xf>
    <xf numFmtId="8" fontId="7" fillId="0" borderId="11" xfId="2" applyFont="1" applyFill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/>
    </xf>
    <xf numFmtId="8" fontId="7" fillId="0" borderId="12" xfId="2" applyFont="1" applyFill="1" applyBorder="1" applyAlignment="1">
      <alignment horizontal="center" vertical="center"/>
    </xf>
    <xf numFmtId="38" fontId="7" fillId="0" borderId="7" xfId="1" applyNumberFormat="1" applyFont="1" applyFill="1" applyBorder="1" applyAlignment="1">
      <alignment horizontal="center" vertical="center"/>
    </xf>
    <xf numFmtId="8" fontId="7" fillId="0" borderId="7" xfId="2" applyFont="1" applyFill="1" applyBorder="1" applyAlignment="1">
      <alignment horizontal="center" vertical="center"/>
    </xf>
    <xf numFmtId="8" fontId="7" fillId="0" borderId="6" xfId="2" applyFont="1" applyFill="1" applyBorder="1" applyAlignment="1">
      <alignment horizontal="center" vertical="center"/>
    </xf>
    <xf numFmtId="38" fontId="8" fillId="0" borderId="5" xfId="1" applyNumberFormat="1" applyFont="1" applyFill="1" applyBorder="1" applyAlignment="1">
      <alignment horizontal="center" vertical="center"/>
    </xf>
    <xf numFmtId="8" fontId="8" fillId="0" borderId="5" xfId="2" applyFont="1" applyFill="1" applyBorder="1" applyAlignment="1">
      <alignment horizontal="center" vertical="center"/>
    </xf>
    <xf numFmtId="164" fontId="10" fillId="0" borderId="0" xfId="0" applyFont="1" applyAlignment="1">
      <alignment vertical="center"/>
    </xf>
    <xf numFmtId="8" fontId="11" fillId="2" borderId="5" xfId="2" applyFont="1" applyFill="1" applyBorder="1" applyAlignment="1">
      <alignment horizontal="center" vertical="center"/>
    </xf>
    <xf numFmtId="164" fontId="1" fillId="0" borderId="0" xfId="0" applyFont="1" applyAlignment="1">
      <alignment horizontal="center" vertical="center"/>
    </xf>
    <xf numFmtId="164" fontId="2" fillId="0" borderId="0" xfId="0" applyFont="1" applyAlignment="1">
      <alignment horizontal="center" vertical="center"/>
    </xf>
    <xf numFmtId="164" fontId="9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19050</xdr:rowOff>
    </xdr:from>
    <xdr:to>
      <xdr:col>7</xdr:col>
      <xdr:colOff>123825</xdr:colOff>
      <xdr:row>7</xdr:row>
      <xdr:rowOff>19050</xdr:rowOff>
    </xdr:to>
    <xdr:pic>
      <xdr:nvPicPr>
        <xdr:cNvPr id="2" name="Picture 1" descr="seal-bright-200dpi">
          <a:extLst>
            <a:ext uri="{FF2B5EF4-FFF2-40B4-BE49-F238E27FC236}">
              <a16:creationId xmlns:a16="http://schemas.microsoft.com/office/drawing/2014/main" id="{D0D300D8-D1B5-4119-8DF3-AF9EC32F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76275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45</xdr:row>
      <xdr:rowOff>19050</xdr:rowOff>
    </xdr:from>
    <xdr:to>
      <xdr:col>7</xdr:col>
      <xdr:colOff>123825</xdr:colOff>
      <xdr:row>48</xdr:row>
      <xdr:rowOff>161925</xdr:rowOff>
    </xdr:to>
    <xdr:pic>
      <xdr:nvPicPr>
        <xdr:cNvPr id="3" name="Picture 2" descr="seal-bright-200dpi">
          <a:extLst>
            <a:ext uri="{FF2B5EF4-FFF2-40B4-BE49-F238E27FC236}">
              <a16:creationId xmlns:a16="http://schemas.microsoft.com/office/drawing/2014/main" id="{66FAB099-2489-403C-830A-6B9411AB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86765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87</xdr:row>
      <xdr:rowOff>19050</xdr:rowOff>
    </xdr:from>
    <xdr:to>
      <xdr:col>7</xdr:col>
      <xdr:colOff>123825</xdr:colOff>
      <xdr:row>91</xdr:row>
      <xdr:rowOff>19050</xdr:rowOff>
    </xdr:to>
    <xdr:pic>
      <xdr:nvPicPr>
        <xdr:cNvPr id="4" name="Picture 3" descr="seal-bright-200dpi">
          <a:extLst>
            <a:ext uri="{FF2B5EF4-FFF2-40B4-BE49-F238E27FC236}">
              <a16:creationId xmlns:a16="http://schemas.microsoft.com/office/drawing/2014/main" id="{B7796E20-B30A-4C5C-B97B-80D62E12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5059025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129</xdr:row>
      <xdr:rowOff>19050</xdr:rowOff>
    </xdr:from>
    <xdr:to>
      <xdr:col>7</xdr:col>
      <xdr:colOff>123825</xdr:colOff>
      <xdr:row>133</xdr:row>
      <xdr:rowOff>0</xdr:rowOff>
    </xdr:to>
    <xdr:pic>
      <xdr:nvPicPr>
        <xdr:cNvPr id="5" name="Picture 4" descr="seal-bright-200dpi">
          <a:extLst>
            <a:ext uri="{FF2B5EF4-FFF2-40B4-BE49-F238E27FC236}">
              <a16:creationId xmlns:a16="http://schemas.microsoft.com/office/drawing/2014/main" id="{213B0B1C-69C0-4FB0-B2BB-A0EAD118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2250400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19050</xdr:rowOff>
    </xdr:from>
    <xdr:to>
      <xdr:col>7</xdr:col>
      <xdr:colOff>123825</xdr:colOff>
      <xdr:row>7</xdr:row>
      <xdr:rowOff>19050</xdr:rowOff>
    </xdr:to>
    <xdr:pic>
      <xdr:nvPicPr>
        <xdr:cNvPr id="2" name="Picture 1" descr="seal-bright-200dpi">
          <a:extLst>
            <a:ext uri="{FF2B5EF4-FFF2-40B4-BE49-F238E27FC236}">
              <a16:creationId xmlns:a16="http://schemas.microsoft.com/office/drawing/2014/main" id="{EE018DF8-7C04-4E9C-8A7C-0B89A3E0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76275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45</xdr:row>
      <xdr:rowOff>19050</xdr:rowOff>
    </xdr:from>
    <xdr:to>
      <xdr:col>7</xdr:col>
      <xdr:colOff>123825</xdr:colOff>
      <xdr:row>48</xdr:row>
      <xdr:rowOff>161925</xdr:rowOff>
    </xdr:to>
    <xdr:pic>
      <xdr:nvPicPr>
        <xdr:cNvPr id="3" name="Picture 2" descr="seal-bright-200dpi">
          <a:extLst>
            <a:ext uri="{FF2B5EF4-FFF2-40B4-BE49-F238E27FC236}">
              <a16:creationId xmlns:a16="http://schemas.microsoft.com/office/drawing/2014/main" id="{A5799737-6524-4A0B-B386-79219F87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86765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87</xdr:row>
      <xdr:rowOff>19050</xdr:rowOff>
    </xdr:from>
    <xdr:to>
      <xdr:col>7</xdr:col>
      <xdr:colOff>123825</xdr:colOff>
      <xdr:row>91</xdr:row>
      <xdr:rowOff>19050</xdr:rowOff>
    </xdr:to>
    <xdr:pic>
      <xdr:nvPicPr>
        <xdr:cNvPr id="4" name="Picture 3" descr="seal-bright-200dpi">
          <a:extLst>
            <a:ext uri="{FF2B5EF4-FFF2-40B4-BE49-F238E27FC236}">
              <a16:creationId xmlns:a16="http://schemas.microsoft.com/office/drawing/2014/main" id="{8C0C334D-6908-4BC7-88C6-5965C693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5059025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129</xdr:row>
      <xdr:rowOff>19050</xdr:rowOff>
    </xdr:from>
    <xdr:to>
      <xdr:col>7</xdr:col>
      <xdr:colOff>123825</xdr:colOff>
      <xdr:row>133</xdr:row>
      <xdr:rowOff>0</xdr:rowOff>
    </xdr:to>
    <xdr:pic>
      <xdr:nvPicPr>
        <xdr:cNvPr id="5" name="Picture 4" descr="seal-bright-200dpi">
          <a:extLst>
            <a:ext uri="{FF2B5EF4-FFF2-40B4-BE49-F238E27FC236}">
              <a16:creationId xmlns:a16="http://schemas.microsoft.com/office/drawing/2014/main" id="{7058184E-A957-4992-95B8-925E5738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2250400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19050</xdr:rowOff>
    </xdr:from>
    <xdr:to>
      <xdr:col>7</xdr:col>
      <xdr:colOff>123825</xdr:colOff>
      <xdr:row>7</xdr:row>
      <xdr:rowOff>19050</xdr:rowOff>
    </xdr:to>
    <xdr:pic>
      <xdr:nvPicPr>
        <xdr:cNvPr id="2" name="Picture 1" descr="seal-bright-200dpi">
          <a:extLst>
            <a:ext uri="{FF2B5EF4-FFF2-40B4-BE49-F238E27FC236}">
              <a16:creationId xmlns:a16="http://schemas.microsoft.com/office/drawing/2014/main" id="{A1B353B8-8005-4DFD-9747-1BAC3BE9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76275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45</xdr:row>
      <xdr:rowOff>19050</xdr:rowOff>
    </xdr:from>
    <xdr:to>
      <xdr:col>7</xdr:col>
      <xdr:colOff>123825</xdr:colOff>
      <xdr:row>48</xdr:row>
      <xdr:rowOff>161925</xdr:rowOff>
    </xdr:to>
    <xdr:pic>
      <xdr:nvPicPr>
        <xdr:cNvPr id="3" name="Picture 2" descr="seal-bright-200dpi">
          <a:extLst>
            <a:ext uri="{FF2B5EF4-FFF2-40B4-BE49-F238E27FC236}">
              <a16:creationId xmlns:a16="http://schemas.microsoft.com/office/drawing/2014/main" id="{6DD61166-4B61-4F9F-8E11-88ADD6E1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786765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87</xdr:row>
      <xdr:rowOff>19050</xdr:rowOff>
    </xdr:from>
    <xdr:to>
      <xdr:col>7</xdr:col>
      <xdr:colOff>123825</xdr:colOff>
      <xdr:row>91</xdr:row>
      <xdr:rowOff>19050</xdr:rowOff>
    </xdr:to>
    <xdr:pic>
      <xdr:nvPicPr>
        <xdr:cNvPr id="4" name="Picture 3" descr="seal-bright-200dpi">
          <a:extLst>
            <a:ext uri="{FF2B5EF4-FFF2-40B4-BE49-F238E27FC236}">
              <a16:creationId xmlns:a16="http://schemas.microsoft.com/office/drawing/2014/main" id="{0ADF94F8-4E12-4F28-960C-EE166489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5059025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129</xdr:row>
      <xdr:rowOff>19050</xdr:rowOff>
    </xdr:from>
    <xdr:to>
      <xdr:col>7</xdr:col>
      <xdr:colOff>123825</xdr:colOff>
      <xdr:row>133</xdr:row>
      <xdr:rowOff>0</xdr:rowOff>
    </xdr:to>
    <xdr:pic>
      <xdr:nvPicPr>
        <xdr:cNvPr id="5" name="Picture 4" descr="seal-bright-200dpi">
          <a:extLst>
            <a:ext uri="{FF2B5EF4-FFF2-40B4-BE49-F238E27FC236}">
              <a16:creationId xmlns:a16="http://schemas.microsoft.com/office/drawing/2014/main" id="{C0267CC9-A91A-44FE-9CB9-2FAC4D49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2250400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19050</xdr:rowOff>
    </xdr:from>
    <xdr:to>
      <xdr:col>7</xdr:col>
      <xdr:colOff>123825</xdr:colOff>
      <xdr:row>7</xdr:row>
      <xdr:rowOff>19050</xdr:rowOff>
    </xdr:to>
    <xdr:pic>
      <xdr:nvPicPr>
        <xdr:cNvPr id="2" name="Picture 1" descr="seal-bright-200dpi">
          <a:extLst>
            <a:ext uri="{FF2B5EF4-FFF2-40B4-BE49-F238E27FC236}">
              <a16:creationId xmlns:a16="http://schemas.microsoft.com/office/drawing/2014/main" id="{FE6919CE-831C-4654-8724-AB2D26C7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76250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45</xdr:row>
      <xdr:rowOff>19050</xdr:rowOff>
    </xdr:from>
    <xdr:to>
      <xdr:col>7</xdr:col>
      <xdr:colOff>123825</xdr:colOff>
      <xdr:row>48</xdr:row>
      <xdr:rowOff>161925</xdr:rowOff>
    </xdr:to>
    <xdr:pic>
      <xdr:nvPicPr>
        <xdr:cNvPr id="3" name="Picture 2" descr="seal-bright-200dpi">
          <a:extLst>
            <a:ext uri="{FF2B5EF4-FFF2-40B4-BE49-F238E27FC236}">
              <a16:creationId xmlns:a16="http://schemas.microsoft.com/office/drawing/2014/main" id="{BA5EC5EA-ADFF-45B8-B851-7C23AC84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877050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87</xdr:row>
      <xdr:rowOff>19050</xdr:rowOff>
    </xdr:from>
    <xdr:to>
      <xdr:col>7</xdr:col>
      <xdr:colOff>123825</xdr:colOff>
      <xdr:row>91</xdr:row>
      <xdr:rowOff>19050</xdr:rowOff>
    </xdr:to>
    <xdr:pic>
      <xdr:nvPicPr>
        <xdr:cNvPr id="4" name="Picture 3" descr="seal-bright-200dpi">
          <a:extLst>
            <a:ext uri="{FF2B5EF4-FFF2-40B4-BE49-F238E27FC236}">
              <a16:creationId xmlns:a16="http://schemas.microsoft.com/office/drawing/2014/main" id="{568E1A94-FF93-486C-8848-C8D37208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277850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129</xdr:row>
      <xdr:rowOff>19050</xdr:rowOff>
    </xdr:from>
    <xdr:to>
      <xdr:col>7</xdr:col>
      <xdr:colOff>123825</xdr:colOff>
      <xdr:row>133</xdr:row>
      <xdr:rowOff>0</xdr:rowOff>
    </xdr:to>
    <xdr:pic>
      <xdr:nvPicPr>
        <xdr:cNvPr id="5" name="Picture 4" descr="seal-bright-200dpi">
          <a:extLst>
            <a:ext uri="{FF2B5EF4-FFF2-40B4-BE49-F238E27FC236}">
              <a16:creationId xmlns:a16="http://schemas.microsoft.com/office/drawing/2014/main" id="{5B7ED427-05E4-4984-A7AE-E2713B50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678650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6EF7-E195-4252-94EB-AC83D08174E3}">
  <sheetPr codeName="Sheet1"/>
  <dimension ref="A1:M169"/>
  <sheetViews>
    <sheetView zoomScaleNormal="100" workbookViewId="0"/>
  </sheetViews>
  <sheetFormatPr defaultRowHeight="12" x14ac:dyDescent="0.15"/>
  <cols>
    <col min="1" max="1" width="8" customWidth="1"/>
    <col min="2" max="2" width="10.75" customWidth="1"/>
    <col min="3" max="3" width="14.125" customWidth="1"/>
    <col min="4" max="4" width="10.25" bestFit="1" customWidth="1"/>
    <col min="5" max="5" width="11.375" customWidth="1"/>
    <col min="6" max="6" width="9.75" customWidth="1"/>
    <col min="7" max="7" width="13.375" customWidth="1"/>
    <col min="8" max="8" width="9.375" customWidth="1"/>
    <col min="9" max="9" width="14" customWidth="1"/>
    <col min="10" max="10" width="8.75" bestFit="1" customWidth="1"/>
    <col min="11" max="11" width="13.375" customWidth="1"/>
    <col min="12" max="12" width="10.5" customWidth="1"/>
    <col min="13" max="13" width="15.75" customWidth="1"/>
    <col min="257" max="257" width="8" customWidth="1"/>
    <col min="258" max="258" width="10.75" customWidth="1"/>
    <col min="259" max="259" width="14.125" customWidth="1"/>
    <col min="260" max="260" width="10.25" bestFit="1" customWidth="1"/>
    <col min="261" max="261" width="11.375" customWidth="1"/>
    <col min="262" max="262" width="9.75" customWidth="1"/>
    <col min="263" max="263" width="13.375" customWidth="1"/>
    <col min="264" max="264" width="8.75" customWidth="1"/>
    <col min="265" max="265" width="12.875" customWidth="1"/>
    <col min="266" max="266" width="8.75" bestFit="1" customWidth="1"/>
    <col min="267" max="267" width="13.375" customWidth="1"/>
    <col min="268" max="268" width="10.5" customWidth="1"/>
    <col min="269" max="269" width="13.5" customWidth="1"/>
    <col min="513" max="513" width="8" customWidth="1"/>
    <col min="514" max="514" width="10.75" customWidth="1"/>
    <col min="515" max="515" width="14.125" customWidth="1"/>
    <col min="516" max="516" width="10.25" bestFit="1" customWidth="1"/>
    <col min="517" max="517" width="11.375" customWidth="1"/>
    <col min="518" max="518" width="9.75" customWidth="1"/>
    <col min="519" max="519" width="13.375" customWidth="1"/>
    <col min="520" max="520" width="8.75" customWidth="1"/>
    <col min="521" max="521" width="12.875" customWidth="1"/>
    <col min="522" max="522" width="8.75" bestFit="1" customWidth="1"/>
    <col min="523" max="523" width="13.375" customWidth="1"/>
    <col min="524" max="524" width="10.5" customWidth="1"/>
    <col min="525" max="525" width="13.5" customWidth="1"/>
    <col min="769" max="769" width="8" customWidth="1"/>
    <col min="770" max="770" width="10.75" customWidth="1"/>
    <col min="771" max="771" width="14.125" customWidth="1"/>
    <col min="772" max="772" width="10.25" bestFit="1" customWidth="1"/>
    <col min="773" max="773" width="11.375" customWidth="1"/>
    <col min="774" max="774" width="9.75" customWidth="1"/>
    <col min="775" max="775" width="13.375" customWidth="1"/>
    <col min="776" max="776" width="8.75" customWidth="1"/>
    <col min="777" max="777" width="12.875" customWidth="1"/>
    <col min="778" max="778" width="8.75" bestFit="1" customWidth="1"/>
    <col min="779" max="779" width="13.375" customWidth="1"/>
    <col min="780" max="780" width="10.5" customWidth="1"/>
    <col min="781" max="781" width="13.5" customWidth="1"/>
    <col min="1025" max="1025" width="8" customWidth="1"/>
    <col min="1026" max="1026" width="10.75" customWidth="1"/>
    <col min="1027" max="1027" width="14.125" customWidth="1"/>
    <col min="1028" max="1028" width="10.25" bestFit="1" customWidth="1"/>
    <col min="1029" max="1029" width="11.375" customWidth="1"/>
    <col min="1030" max="1030" width="9.75" customWidth="1"/>
    <col min="1031" max="1031" width="13.375" customWidth="1"/>
    <col min="1032" max="1032" width="8.75" customWidth="1"/>
    <col min="1033" max="1033" width="12.875" customWidth="1"/>
    <col min="1034" max="1034" width="8.75" bestFit="1" customWidth="1"/>
    <col min="1035" max="1035" width="13.375" customWidth="1"/>
    <col min="1036" max="1036" width="10.5" customWidth="1"/>
    <col min="1037" max="1037" width="13.5" customWidth="1"/>
    <col min="1281" max="1281" width="8" customWidth="1"/>
    <col min="1282" max="1282" width="10.75" customWidth="1"/>
    <col min="1283" max="1283" width="14.125" customWidth="1"/>
    <col min="1284" max="1284" width="10.25" bestFit="1" customWidth="1"/>
    <col min="1285" max="1285" width="11.375" customWidth="1"/>
    <col min="1286" max="1286" width="9.75" customWidth="1"/>
    <col min="1287" max="1287" width="13.375" customWidth="1"/>
    <col min="1288" max="1288" width="8.75" customWidth="1"/>
    <col min="1289" max="1289" width="12.875" customWidth="1"/>
    <col min="1290" max="1290" width="8.75" bestFit="1" customWidth="1"/>
    <col min="1291" max="1291" width="13.375" customWidth="1"/>
    <col min="1292" max="1292" width="10.5" customWidth="1"/>
    <col min="1293" max="1293" width="13.5" customWidth="1"/>
    <col min="1537" max="1537" width="8" customWidth="1"/>
    <col min="1538" max="1538" width="10.75" customWidth="1"/>
    <col min="1539" max="1539" width="14.125" customWidth="1"/>
    <col min="1540" max="1540" width="10.25" bestFit="1" customWidth="1"/>
    <col min="1541" max="1541" width="11.375" customWidth="1"/>
    <col min="1542" max="1542" width="9.75" customWidth="1"/>
    <col min="1543" max="1543" width="13.375" customWidth="1"/>
    <col min="1544" max="1544" width="8.75" customWidth="1"/>
    <col min="1545" max="1545" width="12.875" customWidth="1"/>
    <col min="1546" max="1546" width="8.75" bestFit="1" customWidth="1"/>
    <col min="1547" max="1547" width="13.375" customWidth="1"/>
    <col min="1548" max="1548" width="10.5" customWidth="1"/>
    <col min="1549" max="1549" width="13.5" customWidth="1"/>
    <col min="1793" max="1793" width="8" customWidth="1"/>
    <col min="1794" max="1794" width="10.75" customWidth="1"/>
    <col min="1795" max="1795" width="14.125" customWidth="1"/>
    <col min="1796" max="1796" width="10.25" bestFit="1" customWidth="1"/>
    <col min="1797" max="1797" width="11.375" customWidth="1"/>
    <col min="1798" max="1798" width="9.75" customWidth="1"/>
    <col min="1799" max="1799" width="13.375" customWidth="1"/>
    <col min="1800" max="1800" width="8.75" customWidth="1"/>
    <col min="1801" max="1801" width="12.875" customWidth="1"/>
    <col min="1802" max="1802" width="8.75" bestFit="1" customWidth="1"/>
    <col min="1803" max="1803" width="13.375" customWidth="1"/>
    <col min="1804" max="1804" width="10.5" customWidth="1"/>
    <col min="1805" max="1805" width="13.5" customWidth="1"/>
    <col min="2049" max="2049" width="8" customWidth="1"/>
    <col min="2050" max="2050" width="10.75" customWidth="1"/>
    <col min="2051" max="2051" width="14.125" customWidth="1"/>
    <col min="2052" max="2052" width="10.25" bestFit="1" customWidth="1"/>
    <col min="2053" max="2053" width="11.375" customWidth="1"/>
    <col min="2054" max="2054" width="9.75" customWidth="1"/>
    <col min="2055" max="2055" width="13.375" customWidth="1"/>
    <col min="2056" max="2056" width="8.75" customWidth="1"/>
    <col min="2057" max="2057" width="12.875" customWidth="1"/>
    <col min="2058" max="2058" width="8.75" bestFit="1" customWidth="1"/>
    <col min="2059" max="2059" width="13.375" customWidth="1"/>
    <col min="2060" max="2060" width="10.5" customWidth="1"/>
    <col min="2061" max="2061" width="13.5" customWidth="1"/>
    <col min="2305" max="2305" width="8" customWidth="1"/>
    <col min="2306" max="2306" width="10.75" customWidth="1"/>
    <col min="2307" max="2307" width="14.125" customWidth="1"/>
    <col min="2308" max="2308" width="10.25" bestFit="1" customWidth="1"/>
    <col min="2309" max="2309" width="11.375" customWidth="1"/>
    <col min="2310" max="2310" width="9.75" customWidth="1"/>
    <col min="2311" max="2311" width="13.375" customWidth="1"/>
    <col min="2312" max="2312" width="8.75" customWidth="1"/>
    <col min="2313" max="2313" width="12.875" customWidth="1"/>
    <col min="2314" max="2314" width="8.75" bestFit="1" customWidth="1"/>
    <col min="2315" max="2315" width="13.375" customWidth="1"/>
    <col min="2316" max="2316" width="10.5" customWidth="1"/>
    <col min="2317" max="2317" width="13.5" customWidth="1"/>
    <col min="2561" max="2561" width="8" customWidth="1"/>
    <col min="2562" max="2562" width="10.75" customWidth="1"/>
    <col min="2563" max="2563" width="14.125" customWidth="1"/>
    <col min="2564" max="2564" width="10.25" bestFit="1" customWidth="1"/>
    <col min="2565" max="2565" width="11.375" customWidth="1"/>
    <col min="2566" max="2566" width="9.75" customWidth="1"/>
    <col min="2567" max="2567" width="13.375" customWidth="1"/>
    <col min="2568" max="2568" width="8.75" customWidth="1"/>
    <col min="2569" max="2569" width="12.875" customWidth="1"/>
    <col min="2570" max="2570" width="8.75" bestFit="1" customWidth="1"/>
    <col min="2571" max="2571" width="13.375" customWidth="1"/>
    <col min="2572" max="2572" width="10.5" customWidth="1"/>
    <col min="2573" max="2573" width="13.5" customWidth="1"/>
    <col min="2817" max="2817" width="8" customWidth="1"/>
    <col min="2818" max="2818" width="10.75" customWidth="1"/>
    <col min="2819" max="2819" width="14.125" customWidth="1"/>
    <col min="2820" max="2820" width="10.25" bestFit="1" customWidth="1"/>
    <col min="2821" max="2821" width="11.375" customWidth="1"/>
    <col min="2822" max="2822" width="9.75" customWidth="1"/>
    <col min="2823" max="2823" width="13.375" customWidth="1"/>
    <col min="2824" max="2824" width="8.75" customWidth="1"/>
    <col min="2825" max="2825" width="12.875" customWidth="1"/>
    <col min="2826" max="2826" width="8.75" bestFit="1" customWidth="1"/>
    <col min="2827" max="2827" width="13.375" customWidth="1"/>
    <col min="2828" max="2828" width="10.5" customWidth="1"/>
    <col min="2829" max="2829" width="13.5" customWidth="1"/>
    <col min="3073" max="3073" width="8" customWidth="1"/>
    <col min="3074" max="3074" width="10.75" customWidth="1"/>
    <col min="3075" max="3075" width="14.125" customWidth="1"/>
    <col min="3076" max="3076" width="10.25" bestFit="1" customWidth="1"/>
    <col min="3077" max="3077" width="11.375" customWidth="1"/>
    <col min="3078" max="3078" width="9.75" customWidth="1"/>
    <col min="3079" max="3079" width="13.375" customWidth="1"/>
    <col min="3080" max="3080" width="8.75" customWidth="1"/>
    <col min="3081" max="3081" width="12.875" customWidth="1"/>
    <col min="3082" max="3082" width="8.75" bestFit="1" customWidth="1"/>
    <col min="3083" max="3083" width="13.375" customWidth="1"/>
    <col min="3084" max="3084" width="10.5" customWidth="1"/>
    <col min="3085" max="3085" width="13.5" customWidth="1"/>
    <col min="3329" max="3329" width="8" customWidth="1"/>
    <col min="3330" max="3330" width="10.75" customWidth="1"/>
    <col min="3331" max="3331" width="14.125" customWidth="1"/>
    <col min="3332" max="3332" width="10.25" bestFit="1" customWidth="1"/>
    <col min="3333" max="3333" width="11.375" customWidth="1"/>
    <col min="3334" max="3334" width="9.75" customWidth="1"/>
    <col min="3335" max="3335" width="13.375" customWidth="1"/>
    <col min="3336" max="3336" width="8.75" customWidth="1"/>
    <col min="3337" max="3337" width="12.875" customWidth="1"/>
    <col min="3338" max="3338" width="8.75" bestFit="1" customWidth="1"/>
    <col min="3339" max="3339" width="13.375" customWidth="1"/>
    <col min="3340" max="3340" width="10.5" customWidth="1"/>
    <col min="3341" max="3341" width="13.5" customWidth="1"/>
    <col min="3585" max="3585" width="8" customWidth="1"/>
    <col min="3586" max="3586" width="10.75" customWidth="1"/>
    <col min="3587" max="3587" width="14.125" customWidth="1"/>
    <col min="3588" max="3588" width="10.25" bestFit="1" customWidth="1"/>
    <col min="3589" max="3589" width="11.375" customWidth="1"/>
    <col min="3590" max="3590" width="9.75" customWidth="1"/>
    <col min="3591" max="3591" width="13.375" customWidth="1"/>
    <col min="3592" max="3592" width="8.75" customWidth="1"/>
    <col min="3593" max="3593" width="12.875" customWidth="1"/>
    <col min="3594" max="3594" width="8.75" bestFit="1" customWidth="1"/>
    <col min="3595" max="3595" width="13.375" customWidth="1"/>
    <col min="3596" max="3596" width="10.5" customWidth="1"/>
    <col min="3597" max="3597" width="13.5" customWidth="1"/>
    <col min="3841" max="3841" width="8" customWidth="1"/>
    <col min="3842" max="3842" width="10.75" customWidth="1"/>
    <col min="3843" max="3843" width="14.125" customWidth="1"/>
    <col min="3844" max="3844" width="10.25" bestFit="1" customWidth="1"/>
    <col min="3845" max="3845" width="11.375" customWidth="1"/>
    <col min="3846" max="3846" width="9.75" customWidth="1"/>
    <col min="3847" max="3847" width="13.375" customWidth="1"/>
    <col min="3848" max="3848" width="8.75" customWidth="1"/>
    <col min="3849" max="3849" width="12.875" customWidth="1"/>
    <col min="3850" max="3850" width="8.75" bestFit="1" customWidth="1"/>
    <col min="3851" max="3851" width="13.375" customWidth="1"/>
    <col min="3852" max="3852" width="10.5" customWidth="1"/>
    <col min="3853" max="3853" width="13.5" customWidth="1"/>
    <col min="4097" max="4097" width="8" customWidth="1"/>
    <col min="4098" max="4098" width="10.75" customWidth="1"/>
    <col min="4099" max="4099" width="14.125" customWidth="1"/>
    <col min="4100" max="4100" width="10.25" bestFit="1" customWidth="1"/>
    <col min="4101" max="4101" width="11.375" customWidth="1"/>
    <col min="4102" max="4102" width="9.75" customWidth="1"/>
    <col min="4103" max="4103" width="13.375" customWidth="1"/>
    <col min="4104" max="4104" width="8.75" customWidth="1"/>
    <col min="4105" max="4105" width="12.875" customWidth="1"/>
    <col min="4106" max="4106" width="8.75" bestFit="1" customWidth="1"/>
    <col min="4107" max="4107" width="13.375" customWidth="1"/>
    <col min="4108" max="4108" width="10.5" customWidth="1"/>
    <col min="4109" max="4109" width="13.5" customWidth="1"/>
    <col min="4353" max="4353" width="8" customWidth="1"/>
    <col min="4354" max="4354" width="10.75" customWidth="1"/>
    <col min="4355" max="4355" width="14.125" customWidth="1"/>
    <col min="4356" max="4356" width="10.25" bestFit="1" customWidth="1"/>
    <col min="4357" max="4357" width="11.375" customWidth="1"/>
    <col min="4358" max="4358" width="9.75" customWidth="1"/>
    <col min="4359" max="4359" width="13.375" customWidth="1"/>
    <col min="4360" max="4360" width="8.75" customWidth="1"/>
    <col min="4361" max="4361" width="12.875" customWidth="1"/>
    <col min="4362" max="4362" width="8.75" bestFit="1" customWidth="1"/>
    <col min="4363" max="4363" width="13.375" customWidth="1"/>
    <col min="4364" max="4364" width="10.5" customWidth="1"/>
    <col min="4365" max="4365" width="13.5" customWidth="1"/>
    <col min="4609" max="4609" width="8" customWidth="1"/>
    <col min="4610" max="4610" width="10.75" customWidth="1"/>
    <col min="4611" max="4611" width="14.125" customWidth="1"/>
    <col min="4612" max="4612" width="10.25" bestFit="1" customWidth="1"/>
    <col min="4613" max="4613" width="11.375" customWidth="1"/>
    <col min="4614" max="4614" width="9.75" customWidth="1"/>
    <col min="4615" max="4615" width="13.375" customWidth="1"/>
    <col min="4616" max="4616" width="8.75" customWidth="1"/>
    <col min="4617" max="4617" width="12.875" customWidth="1"/>
    <col min="4618" max="4618" width="8.75" bestFit="1" customWidth="1"/>
    <col min="4619" max="4619" width="13.375" customWidth="1"/>
    <col min="4620" max="4620" width="10.5" customWidth="1"/>
    <col min="4621" max="4621" width="13.5" customWidth="1"/>
    <col min="4865" max="4865" width="8" customWidth="1"/>
    <col min="4866" max="4866" width="10.75" customWidth="1"/>
    <col min="4867" max="4867" width="14.125" customWidth="1"/>
    <col min="4868" max="4868" width="10.25" bestFit="1" customWidth="1"/>
    <col min="4869" max="4869" width="11.375" customWidth="1"/>
    <col min="4870" max="4870" width="9.75" customWidth="1"/>
    <col min="4871" max="4871" width="13.375" customWidth="1"/>
    <col min="4872" max="4872" width="8.75" customWidth="1"/>
    <col min="4873" max="4873" width="12.875" customWidth="1"/>
    <col min="4874" max="4874" width="8.75" bestFit="1" customWidth="1"/>
    <col min="4875" max="4875" width="13.375" customWidth="1"/>
    <col min="4876" max="4876" width="10.5" customWidth="1"/>
    <col min="4877" max="4877" width="13.5" customWidth="1"/>
    <col min="5121" max="5121" width="8" customWidth="1"/>
    <col min="5122" max="5122" width="10.75" customWidth="1"/>
    <col min="5123" max="5123" width="14.125" customWidth="1"/>
    <col min="5124" max="5124" width="10.25" bestFit="1" customWidth="1"/>
    <col min="5125" max="5125" width="11.375" customWidth="1"/>
    <col min="5126" max="5126" width="9.75" customWidth="1"/>
    <col min="5127" max="5127" width="13.375" customWidth="1"/>
    <col min="5128" max="5128" width="8.75" customWidth="1"/>
    <col min="5129" max="5129" width="12.875" customWidth="1"/>
    <col min="5130" max="5130" width="8.75" bestFit="1" customWidth="1"/>
    <col min="5131" max="5131" width="13.375" customWidth="1"/>
    <col min="5132" max="5132" width="10.5" customWidth="1"/>
    <col min="5133" max="5133" width="13.5" customWidth="1"/>
    <col min="5377" max="5377" width="8" customWidth="1"/>
    <col min="5378" max="5378" width="10.75" customWidth="1"/>
    <col min="5379" max="5379" width="14.125" customWidth="1"/>
    <col min="5380" max="5380" width="10.25" bestFit="1" customWidth="1"/>
    <col min="5381" max="5381" width="11.375" customWidth="1"/>
    <col min="5382" max="5382" width="9.75" customWidth="1"/>
    <col min="5383" max="5383" width="13.375" customWidth="1"/>
    <col min="5384" max="5384" width="8.75" customWidth="1"/>
    <col min="5385" max="5385" width="12.875" customWidth="1"/>
    <col min="5386" max="5386" width="8.75" bestFit="1" customWidth="1"/>
    <col min="5387" max="5387" width="13.375" customWidth="1"/>
    <col min="5388" max="5388" width="10.5" customWidth="1"/>
    <col min="5389" max="5389" width="13.5" customWidth="1"/>
    <col min="5633" max="5633" width="8" customWidth="1"/>
    <col min="5634" max="5634" width="10.75" customWidth="1"/>
    <col min="5635" max="5635" width="14.125" customWidth="1"/>
    <col min="5636" max="5636" width="10.25" bestFit="1" customWidth="1"/>
    <col min="5637" max="5637" width="11.375" customWidth="1"/>
    <col min="5638" max="5638" width="9.75" customWidth="1"/>
    <col min="5639" max="5639" width="13.375" customWidth="1"/>
    <col min="5640" max="5640" width="8.75" customWidth="1"/>
    <col min="5641" max="5641" width="12.875" customWidth="1"/>
    <col min="5642" max="5642" width="8.75" bestFit="1" customWidth="1"/>
    <col min="5643" max="5643" width="13.375" customWidth="1"/>
    <col min="5644" max="5644" width="10.5" customWidth="1"/>
    <col min="5645" max="5645" width="13.5" customWidth="1"/>
    <col min="5889" max="5889" width="8" customWidth="1"/>
    <col min="5890" max="5890" width="10.75" customWidth="1"/>
    <col min="5891" max="5891" width="14.125" customWidth="1"/>
    <col min="5892" max="5892" width="10.25" bestFit="1" customWidth="1"/>
    <col min="5893" max="5893" width="11.375" customWidth="1"/>
    <col min="5894" max="5894" width="9.75" customWidth="1"/>
    <col min="5895" max="5895" width="13.375" customWidth="1"/>
    <col min="5896" max="5896" width="8.75" customWidth="1"/>
    <col min="5897" max="5897" width="12.875" customWidth="1"/>
    <col min="5898" max="5898" width="8.75" bestFit="1" customWidth="1"/>
    <col min="5899" max="5899" width="13.375" customWidth="1"/>
    <col min="5900" max="5900" width="10.5" customWidth="1"/>
    <col min="5901" max="5901" width="13.5" customWidth="1"/>
    <col min="6145" max="6145" width="8" customWidth="1"/>
    <col min="6146" max="6146" width="10.75" customWidth="1"/>
    <col min="6147" max="6147" width="14.125" customWidth="1"/>
    <col min="6148" max="6148" width="10.25" bestFit="1" customWidth="1"/>
    <col min="6149" max="6149" width="11.375" customWidth="1"/>
    <col min="6150" max="6150" width="9.75" customWidth="1"/>
    <col min="6151" max="6151" width="13.375" customWidth="1"/>
    <col min="6152" max="6152" width="8.75" customWidth="1"/>
    <col min="6153" max="6153" width="12.875" customWidth="1"/>
    <col min="6154" max="6154" width="8.75" bestFit="1" customWidth="1"/>
    <col min="6155" max="6155" width="13.375" customWidth="1"/>
    <col min="6156" max="6156" width="10.5" customWidth="1"/>
    <col min="6157" max="6157" width="13.5" customWidth="1"/>
    <col min="6401" max="6401" width="8" customWidth="1"/>
    <col min="6402" max="6402" width="10.75" customWidth="1"/>
    <col min="6403" max="6403" width="14.125" customWidth="1"/>
    <col min="6404" max="6404" width="10.25" bestFit="1" customWidth="1"/>
    <col min="6405" max="6405" width="11.375" customWidth="1"/>
    <col min="6406" max="6406" width="9.75" customWidth="1"/>
    <col min="6407" max="6407" width="13.375" customWidth="1"/>
    <col min="6408" max="6408" width="8.75" customWidth="1"/>
    <col min="6409" max="6409" width="12.875" customWidth="1"/>
    <col min="6410" max="6410" width="8.75" bestFit="1" customWidth="1"/>
    <col min="6411" max="6411" width="13.375" customWidth="1"/>
    <col min="6412" max="6412" width="10.5" customWidth="1"/>
    <col min="6413" max="6413" width="13.5" customWidth="1"/>
    <col min="6657" max="6657" width="8" customWidth="1"/>
    <col min="6658" max="6658" width="10.75" customWidth="1"/>
    <col min="6659" max="6659" width="14.125" customWidth="1"/>
    <col min="6660" max="6660" width="10.25" bestFit="1" customWidth="1"/>
    <col min="6661" max="6661" width="11.375" customWidth="1"/>
    <col min="6662" max="6662" width="9.75" customWidth="1"/>
    <col min="6663" max="6663" width="13.375" customWidth="1"/>
    <col min="6664" max="6664" width="8.75" customWidth="1"/>
    <col min="6665" max="6665" width="12.875" customWidth="1"/>
    <col min="6666" max="6666" width="8.75" bestFit="1" customWidth="1"/>
    <col min="6667" max="6667" width="13.375" customWidth="1"/>
    <col min="6668" max="6668" width="10.5" customWidth="1"/>
    <col min="6669" max="6669" width="13.5" customWidth="1"/>
    <col min="6913" max="6913" width="8" customWidth="1"/>
    <col min="6914" max="6914" width="10.75" customWidth="1"/>
    <col min="6915" max="6915" width="14.125" customWidth="1"/>
    <col min="6916" max="6916" width="10.25" bestFit="1" customWidth="1"/>
    <col min="6917" max="6917" width="11.375" customWidth="1"/>
    <col min="6918" max="6918" width="9.75" customWidth="1"/>
    <col min="6919" max="6919" width="13.375" customWidth="1"/>
    <col min="6920" max="6920" width="8.75" customWidth="1"/>
    <col min="6921" max="6921" width="12.875" customWidth="1"/>
    <col min="6922" max="6922" width="8.75" bestFit="1" customWidth="1"/>
    <col min="6923" max="6923" width="13.375" customWidth="1"/>
    <col min="6924" max="6924" width="10.5" customWidth="1"/>
    <col min="6925" max="6925" width="13.5" customWidth="1"/>
    <col min="7169" max="7169" width="8" customWidth="1"/>
    <col min="7170" max="7170" width="10.75" customWidth="1"/>
    <col min="7171" max="7171" width="14.125" customWidth="1"/>
    <col min="7172" max="7172" width="10.25" bestFit="1" customWidth="1"/>
    <col min="7173" max="7173" width="11.375" customWidth="1"/>
    <col min="7174" max="7174" width="9.75" customWidth="1"/>
    <col min="7175" max="7175" width="13.375" customWidth="1"/>
    <col min="7176" max="7176" width="8.75" customWidth="1"/>
    <col min="7177" max="7177" width="12.875" customWidth="1"/>
    <col min="7178" max="7178" width="8.75" bestFit="1" customWidth="1"/>
    <col min="7179" max="7179" width="13.375" customWidth="1"/>
    <col min="7180" max="7180" width="10.5" customWidth="1"/>
    <col min="7181" max="7181" width="13.5" customWidth="1"/>
    <col min="7425" max="7425" width="8" customWidth="1"/>
    <col min="7426" max="7426" width="10.75" customWidth="1"/>
    <col min="7427" max="7427" width="14.125" customWidth="1"/>
    <col min="7428" max="7428" width="10.25" bestFit="1" customWidth="1"/>
    <col min="7429" max="7429" width="11.375" customWidth="1"/>
    <col min="7430" max="7430" width="9.75" customWidth="1"/>
    <col min="7431" max="7431" width="13.375" customWidth="1"/>
    <col min="7432" max="7432" width="8.75" customWidth="1"/>
    <col min="7433" max="7433" width="12.875" customWidth="1"/>
    <col min="7434" max="7434" width="8.75" bestFit="1" customWidth="1"/>
    <col min="7435" max="7435" width="13.375" customWidth="1"/>
    <col min="7436" max="7436" width="10.5" customWidth="1"/>
    <col min="7437" max="7437" width="13.5" customWidth="1"/>
    <col min="7681" max="7681" width="8" customWidth="1"/>
    <col min="7682" max="7682" width="10.75" customWidth="1"/>
    <col min="7683" max="7683" width="14.125" customWidth="1"/>
    <col min="7684" max="7684" width="10.25" bestFit="1" customWidth="1"/>
    <col min="7685" max="7685" width="11.375" customWidth="1"/>
    <col min="7686" max="7686" width="9.75" customWidth="1"/>
    <col min="7687" max="7687" width="13.375" customWidth="1"/>
    <col min="7688" max="7688" width="8.75" customWidth="1"/>
    <col min="7689" max="7689" width="12.875" customWidth="1"/>
    <col min="7690" max="7690" width="8.75" bestFit="1" customWidth="1"/>
    <col min="7691" max="7691" width="13.375" customWidth="1"/>
    <col min="7692" max="7692" width="10.5" customWidth="1"/>
    <col min="7693" max="7693" width="13.5" customWidth="1"/>
    <col min="7937" max="7937" width="8" customWidth="1"/>
    <col min="7938" max="7938" width="10.75" customWidth="1"/>
    <col min="7939" max="7939" width="14.125" customWidth="1"/>
    <col min="7940" max="7940" width="10.25" bestFit="1" customWidth="1"/>
    <col min="7941" max="7941" width="11.375" customWidth="1"/>
    <col min="7942" max="7942" width="9.75" customWidth="1"/>
    <col min="7943" max="7943" width="13.375" customWidth="1"/>
    <col min="7944" max="7944" width="8.75" customWidth="1"/>
    <col min="7945" max="7945" width="12.875" customWidth="1"/>
    <col min="7946" max="7946" width="8.75" bestFit="1" customWidth="1"/>
    <col min="7947" max="7947" width="13.375" customWidth="1"/>
    <col min="7948" max="7948" width="10.5" customWidth="1"/>
    <col min="7949" max="7949" width="13.5" customWidth="1"/>
    <col min="8193" max="8193" width="8" customWidth="1"/>
    <col min="8194" max="8194" width="10.75" customWidth="1"/>
    <col min="8195" max="8195" width="14.125" customWidth="1"/>
    <col min="8196" max="8196" width="10.25" bestFit="1" customWidth="1"/>
    <col min="8197" max="8197" width="11.375" customWidth="1"/>
    <col min="8198" max="8198" width="9.75" customWidth="1"/>
    <col min="8199" max="8199" width="13.375" customWidth="1"/>
    <col min="8200" max="8200" width="8.75" customWidth="1"/>
    <col min="8201" max="8201" width="12.875" customWidth="1"/>
    <col min="8202" max="8202" width="8.75" bestFit="1" customWidth="1"/>
    <col min="8203" max="8203" width="13.375" customWidth="1"/>
    <col min="8204" max="8204" width="10.5" customWidth="1"/>
    <col min="8205" max="8205" width="13.5" customWidth="1"/>
    <col min="8449" max="8449" width="8" customWidth="1"/>
    <col min="8450" max="8450" width="10.75" customWidth="1"/>
    <col min="8451" max="8451" width="14.125" customWidth="1"/>
    <col min="8452" max="8452" width="10.25" bestFit="1" customWidth="1"/>
    <col min="8453" max="8453" width="11.375" customWidth="1"/>
    <col min="8454" max="8454" width="9.75" customWidth="1"/>
    <col min="8455" max="8455" width="13.375" customWidth="1"/>
    <col min="8456" max="8456" width="8.75" customWidth="1"/>
    <col min="8457" max="8457" width="12.875" customWidth="1"/>
    <col min="8458" max="8458" width="8.75" bestFit="1" customWidth="1"/>
    <col min="8459" max="8459" width="13.375" customWidth="1"/>
    <col min="8460" max="8460" width="10.5" customWidth="1"/>
    <col min="8461" max="8461" width="13.5" customWidth="1"/>
    <col min="8705" max="8705" width="8" customWidth="1"/>
    <col min="8706" max="8706" width="10.75" customWidth="1"/>
    <col min="8707" max="8707" width="14.125" customWidth="1"/>
    <col min="8708" max="8708" width="10.25" bestFit="1" customWidth="1"/>
    <col min="8709" max="8709" width="11.375" customWidth="1"/>
    <col min="8710" max="8710" width="9.75" customWidth="1"/>
    <col min="8711" max="8711" width="13.375" customWidth="1"/>
    <col min="8712" max="8712" width="8.75" customWidth="1"/>
    <col min="8713" max="8713" width="12.875" customWidth="1"/>
    <col min="8714" max="8714" width="8.75" bestFit="1" customWidth="1"/>
    <col min="8715" max="8715" width="13.375" customWidth="1"/>
    <col min="8716" max="8716" width="10.5" customWidth="1"/>
    <col min="8717" max="8717" width="13.5" customWidth="1"/>
    <col min="8961" max="8961" width="8" customWidth="1"/>
    <col min="8962" max="8962" width="10.75" customWidth="1"/>
    <col min="8963" max="8963" width="14.125" customWidth="1"/>
    <col min="8964" max="8964" width="10.25" bestFit="1" customWidth="1"/>
    <col min="8965" max="8965" width="11.375" customWidth="1"/>
    <col min="8966" max="8966" width="9.75" customWidth="1"/>
    <col min="8967" max="8967" width="13.375" customWidth="1"/>
    <col min="8968" max="8968" width="8.75" customWidth="1"/>
    <col min="8969" max="8969" width="12.875" customWidth="1"/>
    <col min="8970" max="8970" width="8.75" bestFit="1" customWidth="1"/>
    <col min="8971" max="8971" width="13.375" customWidth="1"/>
    <col min="8972" max="8972" width="10.5" customWidth="1"/>
    <col min="8973" max="8973" width="13.5" customWidth="1"/>
    <col min="9217" max="9217" width="8" customWidth="1"/>
    <col min="9218" max="9218" width="10.75" customWidth="1"/>
    <col min="9219" max="9219" width="14.125" customWidth="1"/>
    <col min="9220" max="9220" width="10.25" bestFit="1" customWidth="1"/>
    <col min="9221" max="9221" width="11.375" customWidth="1"/>
    <col min="9222" max="9222" width="9.75" customWidth="1"/>
    <col min="9223" max="9223" width="13.375" customWidth="1"/>
    <col min="9224" max="9224" width="8.75" customWidth="1"/>
    <col min="9225" max="9225" width="12.875" customWidth="1"/>
    <col min="9226" max="9226" width="8.75" bestFit="1" customWidth="1"/>
    <col min="9227" max="9227" width="13.375" customWidth="1"/>
    <col min="9228" max="9228" width="10.5" customWidth="1"/>
    <col min="9229" max="9229" width="13.5" customWidth="1"/>
    <col min="9473" max="9473" width="8" customWidth="1"/>
    <col min="9474" max="9474" width="10.75" customWidth="1"/>
    <col min="9475" max="9475" width="14.125" customWidth="1"/>
    <col min="9476" max="9476" width="10.25" bestFit="1" customWidth="1"/>
    <col min="9477" max="9477" width="11.375" customWidth="1"/>
    <col min="9478" max="9478" width="9.75" customWidth="1"/>
    <col min="9479" max="9479" width="13.375" customWidth="1"/>
    <col min="9480" max="9480" width="8.75" customWidth="1"/>
    <col min="9481" max="9481" width="12.875" customWidth="1"/>
    <col min="9482" max="9482" width="8.75" bestFit="1" customWidth="1"/>
    <col min="9483" max="9483" width="13.375" customWidth="1"/>
    <col min="9484" max="9484" width="10.5" customWidth="1"/>
    <col min="9485" max="9485" width="13.5" customWidth="1"/>
    <col min="9729" max="9729" width="8" customWidth="1"/>
    <col min="9730" max="9730" width="10.75" customWidth="1"/>
    <col min="9731" max="9731" width="14.125" customWidth="1"/>
    <col min="9732" max="9732" width="10.25" bestFit="1" customWidth="1"/>
    <col min="9733" max="9733" width="11.375" customWidth="1"/>
    <col min="9734" max="9734" width="9.75" customWidth="1"/>
    <col min="9735" max="9735" width="13.375" customWidth="1"/>
    <col min="9736" max="9736" width="8.75" customWidth="1"/>
    <col min="9737" max="9737" width="12.875" customWidth="1"/>
    <col min="9738" max="9738" width="8.75" bestFit="1" customWidth="1"/>
    <col min="9739" max="9739" width="13.375" customWidth="1"/>
    <col min="9740" max="9740" width="10.5" customWidth="1"/>
    <col min="9741" max="9741" width="13.5" customWidth="1"/>
    <col min="9985" max="9985" width="8" customWidth="1"/>
    <col min="9986" max="9986" width="10.75" customWidth="1"/>
    <col min="9987" max="9987" width="14.125" customWidth="1"/>
    <col min="9988" max="9988" width="10.25" bestFit="1" customWidth="1"/>
    <col min="9989" max="9989" width="11.375" customWidth="1"/>
    <col min="9990" max="9990" width="9.75" customWidth="1"/>
    <col min="9991" max="9991" width="13.375" customWidth="1"/>
    <col min="9992" max="9992" width="8.75" customWidth="1"/>
    <col min="9993" max="9993" width="12.875" customWidth="1"/>
    <col min="9994" max="9994" width="8.75" bestFit="1" customWidth="1"/>
    <col min="9995" max="9995" width="13.375" customWidth="1"/>
    <col min="9996" max="9996" width="10.5" customWidth="1"/>
    <col min="9997" max="9997" width="13.5" customWidth="1"/>
    <col min="10241" max="10241" width="8" customWidth="1"/>
    <col min="10242" max="10242" width="10.75" customWidth="1"/>
    <col min="10243" max="10243" width="14.125" customWidth="1"/>
    <col min="10244" max="10244" width="10.25" bestFit="1" customWidth="1"/>
    <col min="10245" max="10245" width="11.375" customWidth="1"/>
    <col min="10246" max="10246" width="9.75" customWidth="1"/>
    <col min="10247" max="10247" width="13.375" customWidth="1"/>
    <col min="10248" max="10248" width="8.75" customWidth="1"/>
    <col min="10249" max="10249" width="12.875" customWidth="1"/>
    <col min="10250" max="10250" width="8.75" bestFit="1" customWidth="1"/>
    <col min="10251" max="10251" width="13.375" customWidth="1"/>
    <col min="10252" max="10252" width="10.5" customWidth="1"/>
    <col min="10253" max="10253" width="13.5" customWidth="1"/>
    <col min="10497" max="10497" width="8" customWidth="1"/>
    <col min="10498" max="10498" width="10.75" customWidth="1"/>
    <col min="10499" max="10499" width="14.125" customWidth="1"/>
    <col min="10500" max="10500" width="10.25" bestFit="1" customWidth="1"/>
    <col min="10501" max="10501" width="11.375" customWidth="1"/>
    <col min="10502" max="10502" width="9.75" customWidth="1"/>
    <col min="10503" max="10503" width="13.375" customWidth="1"/>
    <col min="10504" max="10504" width="8.75" customWidth="1"/>
    <col min="10505" max="10505" width="12.875" customWidth="1"/>
    <col min="10506" max="10506" width="8.75" bestFit="1" customWidth="1"/>
    <col min="10507" max="10507" width="13.375" customWidth="1"/>
    <col min="10508" max="10508" width="10.5" customWidth="1"/>
    <col min="10509" max="10509" width="13.5" customWidth="1"/>
    <col min="10753" max="10753" width="8" customWidth="1"/>
    <col min="10754" max="10754" width="10.75" customWidth="1"/>
    <col min="10755" max="10755" width="14.125" customWidth="1"/>
    <col min="10756" max="10756" width="10.25" bestFit="1" customWidth="1"/>
    <col min="10757" max="10757" width="11.375" customWidth="1"/>
    <col min="10758" max="10758" width="9.75" customWidth="1"/>
    <col min="10759" max="10759" width="13.375" customWidth="1"/>
    <col min="10760" max="10760" width="8.75" customWidth="1"/>
    <col min="10761" max="10761" width="12.875" customWidth="1"/>
    <col min="10762" max="10762" width="8.75" bestFit="1" customWidth="1"/>
    <col min="10763" max="10763" width="13.375" customWidth="1"/>
    <col min="10764" max="10764" width="10.5" customWidth="1"/>
    <col min="10765" max="10765" width="13.5" customWidth="1"/>
    <col min="11009" max="11009" width="8" customWidth="1"/>
    <col min="11010" max="11010" width="10.75" customWidth="1"/>
    <col min="11011" max="11011" width="14.125" customWidth="1"/>
    <col min="11012" max="11012" width="10.25" bestFit="1" customWidth="1"/>
    <col min="11013" max="11013" width="11.375" customWidth="1"/>
    <col min="11014" max="11014" width="9.75" customWidth="1"/>
    <col min="11015" max="11015" width="13.375" customWidth="1"/>
    <col min="11016" max="11016" width="8.75" customWidth="1"/>
    <col min="11017" max="11017" width="12.875" customWidth="1"/>
    <col min="11018" max="11018" width="8.75" bestFit="1" customWidth="1"/>
    <col min="11019" max="11019" width="13.375" customWidth="1"/>
    <col min="11020" max="11020" width="10.5" customWidth="1"/>
    <col min="11021" max="11021" width="13.5" customWidth="1"/>
    <col min="11265" max="11265" width="8" customWidth="1"/>
    <col min="11266" max="11266" width="10.75" customWidth="1"/>
    <col min="11267" max="11267" width="14.125" customWidth="1"/>
    <col min="11268" max="11268" width="10.25" bestFit="1" customWidth="1"/>
    <col min="11269" max="11269" width="11.375" customWidth="1"/>
    <col min="11270" max="11270" width="9.75" customWidth="1"/>
    <col min="11271" max="11271" width="13.375" customWidth="1"/>
    <col min="11272" max="11272" width="8.75" customWidth="1"/>
    <col min="11273" max="11273" width="12.875" customWidth="1"/>
    <col min="11274" max="11274" width="8.75" bestFit="1" customWidth="1"/>
    <col min="11275" max="11275" width="13.375" customWidth="1"/>
    <col min="11276" max="11276" width="10.5" customWidth="1"/>
    <col min="11277" max="11277" width="13.5" customWidth="1"/>
    <col min="11521" max="11521" width="8" customWidth="1"/>
    <col min="11522" max="11522" width="10.75" customWidth="1"/>
    <col min="11523" max="11523" width="14.125" customWidth="1"/>
    <col min="11524" max="11524" width="10.25" bestFit="1" customWidth="1"/>
    <col min="11525" max="11525" width="11.375" customWidth="1"/>
    <col min="11526" max="11526" width="9.75" customWidth="1"/>
    <col min="11527" max="11527" width="13.375" customWidth="1"/>
    <col min="11528" max="11528" width="8.75" customWidth="1"/>
    <col min="11529" max="11529" width="12.875" customWidth="1"/>
    <col min="11530" max="11530" width="8.75" bestFit="1" customWidth="1"/>
    <col min="11531" max="11531" width="13.375" customWidth="1"/>
    <col min="11532" max="11532" width="10.5" customWidth="1"/>
    <col min="11533" max="11533" width="13.5" customWidth="1"/>
    <col min="11777" max="11777" width="8" customWidth="1"/>
    <col min="11778" max="11778" width="10.75" customWidth="1"/>
    <col min="11779" max="11779" width="14.125" customWidth="1"/>
    <col min="11780" max="11780" width="10.25" bestFit="1" customWidth="1"/>
    <col min="11781" max="11781" width="11.375" customWidth="1"/>
    <col min="11782" max="11782" width="9.75" customWidth="1"/>
    <col min="11783" max="11783" width="13.375" customWidth="1"/>
    <col min="11784" max="11784" width="8.75" customWidth="1"/>
    <col min="11785" max="11785" width="12.875" customWidth="1"/>
    <col min="11786" max="11786" width="8.75" bestFit="1" customWidth="1"/>
    <col min="11787" max="11787" width="13.375" customWidth="1"/>
    <col min="11788" max="11788" width="10.5" customWidth="1"/>
    <col min="11789" max="11789" width="13.5" customWidth="1"/>
    <col min="12033" max="12033" width="8" customWidth="1"/>
    <col min="12034" max="12034" width="10.75" customWidth="1"/>
    <col min="12035" max="12035" width="14.125" customWidth="1"/>
    <col min="12036" max="12036" width="10.25" bestFit="1" customWidth="1"/>
    <col min="12037" max="12037" width="11.375" customWidth="1"/>
    <col min="12038" max="12038" width="9.75" customWidth="1"/>
    <col min="12039" max="12039" width="13.375" customWidth="1"/>
    <col min="12040" max="12040" width="8.75" customWidth="1"/>
    <col min="12041" max="12041" width="12.875" customWidth="1"/>
    <col min="12042" max="12042" width="8.75" bestFit="1" customWidth="1"/>
    <col min="12043" max="12043" width="13.375" customWidth="1"/>
    <col min="12044" max="12044" width="10.5" customWidth="1"/>
    <col min="12045" max="12045" width="13.5" customWidth="1"/>
    <col min="12289" max="12289" width="8" customWidth="1"/>
    <col min="12290" max="12290" width="10.75" customWidth="1"/>
    <col min="12291" max="12291" width="14.125" customWidth="1"/>
    <col min="12292" max="12292" width="10.25" bestFit="1" customWidth="1"/>
    <col min="12293" max="12293" width="11.375" customWidth="1"/>
    <col min="12294" max="12294" width="9.75" customWidth="1"/>
    <col min="12295" max="12295" width="13.375" customWidth="1"/>
    <col min="12296" max="12296" width="8.75" customWidth="1"/>
    <col min="12297" max="12297" width="12.875" customWidth="1"/>
    <col min="12298" max="12298" width="8.75" bestFit="1" customWidth="1"/>
    <col min="12299" max="12299" width="13.375" customWidth="1"/>
    <col min="12300" max="12300" width="10.5" customWidth="1"/>
    <col min="12301" max="12301" width="13.5" customWidth="1"/>
    <col min="12545" max="12545" width="8" customWidth="1"/>
    <col min="12546" max="12546" width="10.75" customWidth="1"/>
    <col min="12547" max="12547" width="14.125" customWidth="1"/>
    <col min="12548" max="12548" width="10.25" bestFit="1" customWidth="1"/>
    <col min="12549" max="12549" width="11.375" customWidth="1"/>
    <col min="12550" max="12550" width="9.75" customWidth="1"/>
    <col min="12551" max="12551" width="13.375" customWidth="1"/>
    <col min="12552" max="12552" width="8.75" customWidth="1"/>
    <col min="12553" max="12553" width="12.875" customWidth="1"/>
    <col min="12554" max="12554" width="8.75" bestFit="1" customWidth="1"/>
    <col min="12555" max="12555" width="13.375" customWidth="1"/>
    <col min="12556" max="12556" width="10.5" customWidth="1"/>
    <col min="12557" max="12557" width="13.5" customWidth="1"/>
    <col min="12801" max="12801" width="8" customWidth="1"/>
    <col min="12802" max="12802" width="10.75" customWidth="1"/>
    <col min="12803" max="12803" width="14.125" customWidth="1"/>
    <col min="12804" max="12804" width="10.25" bestFit="1" customWidth="1"/>
    <col min="12805" max="12805" width="11.375" customWidth="1"/>
    <col min="12806" max="12806" width="9.75" customWidth="1"/>
    <col min="12807" max="12807" width="13.375" customWidth="1"/>
    <col min="12808" max="12808" width="8.75" customWidth="1"/>
    <col min="12809" max="12809" width="12.875" customWidth="1"/>
    <col min="12810" max="12810" width="8.75" bestFit="1" customWidth="1"/>
    <col min="12811" max="12811" width="13.375" customWidth="1"/>
    <col min="12812" max="12812" width="10.5" customWidth="1"/>
    <col min="12813" max="12813" width="13.5" customWidth="1"/>
    <col min="13057" max="13057" width="8" customWidth="1"/>
    <col min="13058" max="13058" width="10.75" customWidth="1"/>
    <col min="13059" max="13059" width="14.125" customWidth="1"/>
    <col min="13060" max="13060" width="10.25" bestFit="1" customWidth="1"/>
    <col min="13061" max="13061" width="11.375" customWidth="1"/>
    <col min="13062" max="13062" width="9.75" customWidth="1"/>
    <col min="13063" max="13063" width="13.375" customWidth="1"/>
    <col min="13064" max="13064" width="8.75" customWidth="1"/>
    <col min="13065" max="13065" width="12.875" customWidth="1"/>
    <col min="13066" max="13066" width="8.75" bestFit="1" customWidth="1"/>
    <col min="13067" max="13067" width="13.375" customWidth="1"/>
    <col min="13068" max="13068" width="10.5" customWidth="1"/>
    <col min="13069" max="13069" width="13.5" customWidth="1"/>
    <col min="13313" max="13313" width="8" customWidth="1"/>
    <col min="13314" max="13314" width="10.75" customWidth="1"/>
    <col min="13315" max="13315" width="14.125" customWidth="1"/>
    <col min="13316" max="13316" width="10.25" bestFit="1" customWidth="1"/>
    <col min="13317" max="13317" width="11.375" customWidth="1"/>
    <col min="13318" max="13318" width="9.75" customWidth="1"/>
    <col min="13319" max="13319" width="13.375" customWidth="1"/>
    <col min="13320" max="13320" width="8.75" customWidth="1"/>
    <col min="13321" max="13321" width="12.875" customWidth="1"/>
    <col min="13322" max="13322" width="8.75" bestFit="1" customWidth="1"/>
    <col min="13323" max="13323" width="13.375" customWidth="1"/>
    <col min="13324" max="13324" width="10.5" customWidth="1"/>
    <col min="13325" max="13325" width="13.5" customWidth="1"/>
    <col min="13569" max="13569" width="8" customWidth="1"/>
    <col min="13570" max="13570" width="10.75" customWidth="1"/>
    <col min="13571" max="13571" width="14.125" customWidth="1"/>
    <col min="13572" max="13572" width="10.25" bestFit="1" customWidth="1"/>
    <col min="13573" max="13573" width="11.375" customWidth="1"/>
    <col min="13574" max="13574" width="9.75" customWidth="1"/>
    <col min="13575" max="13575" width="13.375" customWidth="1"/>
    <col min="13576" max="13576" width="8.75" customWidth="1"/>
    <col min="13577" max="13577" width="12.875" customWidth="1"/>
    <col min="13578" max="13578" width="8.75" bestFit="1" customWidth="1"/>
    <col min="13579" max="13579" width="13.375" customWidth="1"/>
    <col min="13580" max="13580" width="10.5" customWidth="1"/>
    <col min="13581" max="13581" width="13.5" customWidth="1"/>
    <col min="13825" max="13825" width="8" customWidth="1"/>
    <col min="13826" max="13826" width="10.75" customWidth="1"/>
    <col min="13827" max="13827" width="14.125" customWidth="1"/>
    <col min="13828" max="13828" width="10.25" bestFit="1" customWidth="1"/>
    <col min="13829" max="13829" width="11.375" customWidth="1"/>
    <col min="13830" max="13830" width="9.75" customWidth="1"/>
    <col min="13831" max="13831" width="13.375" customWidth="1"/>
    <col min="13832" max="13832" width="8.75" customWidth="1"/>
    <col min="13833" max="13833" width="12.875" customWidth="1"/>
    <col min="13834" max="13834" width="8.75" bestFit="1" customWidth="1"/>
    <col min="13835" max="13835" width="13.375" customWidth="1"/>
    <col min="13836" max="13836" width="10.5" customWidth="1"/>
    <col min="13837" max="13837" width="13.5" customWidth="1"/>
    <col min="14081" max="14081" width="8" customWidth="1"/>
    <col min="14082" max="14082" width="10.75" customWidth="1"/>
    <col min="14083" max="14083" width="14.125" customWidth="1"/>
    <col min="14084" max="14084" width="10.25" bestFit="1" customWidth="1"/>
    <col min="14085" max="14085" width="11.375" customWidth="1"/>
    <col min="14086" max="14086" width="9.75" customWidth="1"/>
    <col min="14087" max="14087" width="13.375" customWidth="1"/>
    <col min="14088" max="14088" width="8.75" customWidth="1"/>
    <col min="14089" max="14089" width="12.875" customWidth="1"/>
    <col min="14090" max="14090" width="8.75" bestFit="1" customWidth="1"/>
    <col min="14091" max="14091" width="13.375" customWidth="1"/>
    <col min="14092" max="14092" width="10.5" customWidth="1"/>
    <col min="14093" max="14093" width="13.5" customWidth="1"/>
    <col min="14337" max="14337" width="8" customWidth="1"/>
    <col min="14338" max="14338" width="10.75" customWidth="1"/>
    <col min="14339" max="14339" width="14.125" customWidth="1"/>
    <col min="14340" max="14340" width="10.25" bestFit="1" customWidth="1"/>
    <col min="14341" max="14341" width="11.375" customWidth="1"/>
    <col min="14342" max="14342" width="9.75" customWidth="1"/>
    <col min="14343" max="14343" width="13.375" customWidth="1"/>
    <col min="14344" max="14344" width="8.75" customWidth="1"/>
    <col min="14345" max="14345" width="12.875" customWidth="1"/>
    <col min="14346" max="14346" width="8.75" bestFit="1" customWidth="1"/>
    <col min="14347" max="14347" width="13.375" customWidth="1"/>
    <col min="14348" max="14348" width="10.5" customWidth="1"/>
    <col min="14349" max="14349" width="13.5" customWidth="1"/>
    <col min="14593" max="14593" width="8" customWidth="1"/>
    <col min="14594" max="14594" width="10.75" customWidth="1"/>
    <col min="14595" max="14595" width="14.125" customWidth="1"/>
    <col min="14596" max="14596" width="10.25" bestFit="1" customWidth="1"/>
    <col min="14597" max="14597" width="11.375" customWidth="1"/>
    <col min="14598" max="14598" width="9.75" customWidth="1"/>
    <col min="14599" max="14599" width="13.375" customWidth="1"/>
    <col min="14600" max="14600" width="8.75" customWidth="1"/>
    <col min="14601" max="14601" width="12.875" customWidth="1"/>
    <col min="14602" max="14602" width="8.75" bestFit="1" customWidth="1"/>
    <col min="14603" max="14603" width="13.375" customWidth="1"/>
    <col min="14604" max="14604" width="10.5" customWidth="1"/>
    <col min="14605" max="14605" width="13.5" customWidth="1"/>
    <col min="14849" max="14849" width="8" customWidth="1"/>
    <col min="14850" max="14850" width="10.75" customWidth="1"/>
    <col min="14851" max="14851" width="14.125" customWidth="1"/>
    <col min="14852" max="14852" width="10.25" bestFit="1" customWidth="1"/>
    <col min="14853" max="14853" width="11.375" customWidth="1"/>
    <col min="14854" max="14854" width="9.75" customWidth="1"/>
    <col min="14855" max="14855" width="13.375" customWidth="1"/>
    <col min="14856" max="14856" width="8.75" customWidth="1"/>
    <col min="14857" max="14857" width="12.875" customWidth="1"/>
    <col min="14858" max="14858" width="8.75" bestFit="1" customWidth="1"/>
    <col min="14859" max="14859" width="13.375" customWidth="1"/>
    <col min="14860" max="14860" width="10.5" customWidth="1"/>
    <col min="14861" max="14861" width="13.5" customWidth="1"/>
    <col min="15105" max="15105" width="8" customWidth="1"/>
    <col min="15106" max="15106" width="10.75" customWidth="1"/>
    <col min="15107" max="15107" width="14.125" customWidth="1"/>
    <col min="15108" max="15108" width="10.25" bestFit="1" customWidth="1"/>
    <col min="15109" max="15109" width="11.375" customWidth="1"/>
    <col min="15110" max="15110" width="9.75" customWidth="1"/>
    <col min="15111" max="15111" width="13.375" customWidth="1"/>
    <col min="15112" max="15112" width="8.75" customWidth="1"/>
    <col min="15113" max="15113" width="12.875" customWidth="1"/>
    <col min="15114" max="15114" width="8.75" bestFit="1" customWidth="1"/>
    <col min="15115" max="15115" width="13.375" customWidth="1"/>
    <col min="15116" max="15116" width="10.5" customWidth="1"/>
    <col min="15117" max="15117" width="13.5" customWidth="1"/>
    <col min="15361" max="15361" width="8" customWidth="1"/>
    <col min="15362" max="15362" width="10.75" customWidth="1"/>
    <col min="15363" max="15363" width="14.125" customWidth="1"/>
    <col min="15364" max="15364" width="10.25" bestFit="1" customWidth="1"/>
    <col min="15365" max="15365" width="11.375" customWidth="1"/>
    <col min="15366" max="15366" width="9.75" customWidth="1"/>
    <col min="15367" max="15367" width="13.375" customWidth="1"/>
    <col min="15368" max="15368" width="8.75" customWidth="1"/>
    <col min="15369" max="15369" width="12.875" customWidth="1"/>
    <col min="15370" max="15370" width="8.75" bestFit="1" customWidth="1"/>
    <col min="15371" max="15371" width="13.375" customWidth="1"/>
    <col min="15372" max="15372" width="10.5" customWidth="1"/>
    <col min="15373" max="15373" width="13.5" customWidth="1"/>
    <col min="15617" max="15617" width="8" customWidth="1"/>
    <col min="15618" max="15618" width="10.75" customWidth="1"/>
    <col min="15619" max="15619" width="14.125" customWidth="1"/>
    <col min="15620" max="15620" width="10.25" bestFit="1" customWidth="1"/>
    <col min="15621" max="15621" width="11.375" customWidth="1"/>
    <col min="15622" max="15622" width="9.75" customWidth="1"/>
    <col min="15623" max="15623" width="13.375" customWidth="1"/>
    <col min="15624" max="15624" width="8.75" customWidth="1"/>
    <col min="15625" max="15625" width="12.875" customWidth="1"/>
    <col min="15626" max="15626" width="8.75" bestFit="1" customWidth="1"/>
    <col min="15627" max="15627" width="13.375" customWidth="1"/>
    <col min="15628" max="15628" width="10.5" customWidth="1"/>
    <col min="15629" max="15629" width="13.5" customWidth="1"/>
    <col min="15873" max="15873" width="8" customWidth="1"/>
    <col min="15874" max="15874" width="10.75" customWidth="1"/>
    <col min="15875" max="15875" width="14.125" customWidth="1"/>
    <col min="15876" max="15876" width="10.25" bestFit="1" customWidth="1"/>
    <col min="15877" max="15877" width="11.375" customWidth="1"/>
    <col min="15878" max="15878" width="9.75" customWidth="1"/>
    <col min="15879" max="15879" width="13.375" customWidth="1"/>
    <col min="15880" max="15880" width="8.75" customWidth="1"/>
    <col min="15881" max="15881" width="12.875" customWidth="1"/>
    <col min="15882" max="15882" width="8.75" bestFit="1" customWidth="1"/>
    <col min="15883" max="15883" width="13.375" customWidth="1"/>
    <col min="15884" max="15884" width="10.5" customWidth="1"/>
    <col min="15885" max="15885" width="13.5" customWidth="1"/>
    <col min="16129" max="16129" width="8" customWidth="1"/>
    <col min="16130" max="16130" width="10.75" customWidth="1"/>
    <col min="16131" max="16131" width="14.125" customWidth="1"/>
    <col min="16132" max="16132" width="10.25" bestFit="1" customWidth="1"/>
    <col min="16133" max="16133" width="11.375" customWidth="1"/>
    <col min="16134" max="16134" width="9.75" customWidth="1"/>
    <col min="16135" max="16135" width="13.375" customWidth="1"/>
    <col min="16136" max="16136" width="8.75" customWidth="1"/>
    <col min="16137" max="16137" width="12.875" customWidth="1"/>
    <col min="16138" max="16138" width="8.75" bestFit="1" customWidth="1"/>
    <col min="16139" max="16139" width="13.375" customWidth="1"/>
    <col min="16140" max="16140" width="10.5" customWidth="1"/>
    <col min="16141" max="16141" width="13.5" customWidth="1"/>
  </cols>
  <sheetData>
    <row r="1" spans="1:13" s="1" customFormat="1" ht="17.25" customHeight="1" x14ac:dyDescent="0.15"/>
    <row r="2" spans="1:13" s="1" customFormat="1" ht="17.2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" customFormat="1" ht="17.25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17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1" customFormat="1" ht="17.25" customHeight="1" x14ac:dyDescent="0.15"/>
    <row r="6" spans="1:13" s="1" customFormat="1" ht="17.25" customHeight="1" x14ac:dyDescent="0.15"/>
    <row r="7" spans="1:13" s="1" customFormat="1" ht="13.5" customHeight="1" x14ac:dyDescent="0.15">
      <c r="A7" s="3" t="s">
        <v>2</v>
      </c>
      <c r="B7" s="4"/>
      <c r="C7" s="4"/>
      <c r="D7" s="4"/>
      <c r="E7" s="3"/>
      <c r="F7" s="4"/>
      <c r="G7" s="4"/>
      <c r="H7" s="4"/>
      <c r="I7" s="4"/>
      <c r="L7" s="4"/>
      <c r="M7" s="4"/>
    </row>
    <row r="8" spans="1:13" s="1" customFormat="1" ht="13.5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1" customFormat="1" ht="12.75" x14ac:dyDescent="0.15">
      <c r="A9" s="5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7" t="s">
        <v>9</v>
      </c>
      <c r="H9" s="6" t="s">
        <v>10</v>
      </c>
      <c r="I9" s="7" t="s">
        <v>11</v>
      </c>
      <c r="J9" s="6" t="s">
        <v>12</v>
      </c>
      <c r="K9" s="7" t="s">
        <v>13</v>
      </c>
      <c r="L9" s="5" t="s">
        <v>14</v>
      </c>
      <c r="M9" s="6" t="s">
        <v>15</v>
      </c>
    </row>
    <row r="10" spans="1:13" s="1" customFormat="1" ht="13.5" thickBot="1" x14ac:dyDescent="0.2">
      <c r="A10" s="8" t="s">
        <v>16</v>
      </c>
      <c r="B10" s="9">
        <v>3.75</v>
      </c>
      <c r="C10" s="10" t="s">
        <v>17</v>
      </c>
      <c r="D10" s="9">
        <v>11</v>
      </c>
      <c r="E10" s="10" t="s">
        <v>17</v>
      </c>
      <c r="F10" s="9">
        <v>15</v>
      </c>
      <c r="G10" s="11" t="s">
        <v>17</v>
      </c>
      <c r="H10" s="9">
        <v>17.25</v>
      </c>
      <c r="I10" s="11" t="s">
        <v>17</v>
      </c>
      <c r="J10" s="9">
        <v>22</v>
      </c>
      <c r="K10" s="11" t="s">
        <v>17</v>
      </c>
      <c r="L10" s="12">
        <v>25</v>
      </c>
      <c r="M10" s="10" t="s">
        <v>17</v>
      </c>
    </row>
    <row r="11" spans="1:13" s="1" customFormat="1" ht="12.75" x14ac:dyDescent="0.15">
      <c r="A11" s="13">
        <v>43374</v>
      </c>
      <c r="B11" s="14">
        <v>102955</v>
      </c>
      <c r="C11" s="15">
        <f>SUM(B11*B10)</f>
        <v>386081.25</v>
      </c>
      <c r="D11" s="14">
        <v>0</v>
      </c>
      <c r="E11" s="15">
        <f>SUM(D11*D10)</f>
        <v>0</v>
      </c>
      <c r="F11" s="14">
        <v>0</v>
      </c>
      <c r="G11" s="15">
        <f>SUM(F11*F10)</f>
        <v>0</v>
      </c>
      <c r="H11" s="14">
        <v>0</v>
      </c>
      <c r="I11" s="15">
        <f>SUM(H11*H10)</f>
        <v>0</v>
      </c>
      <c r="J11" s="14">
        <v>0</v>
      </c>
      <c r="K11" s="15">
        <f>SUM(J11*J10)</f>
        <v>0</v>
      </c>
      <c r="L11" s="14">
        <v>0</v>
      </c>
      <c r="M11" s="15">
        <f>SUM(L11*L10)</f>
        <v>0</v>
      </c>
    </row>
    <row r="12" spans="1:13" s="1" customFormat="1" ht="12.75" x14ac:dyDescent="0.15">
      <c r="A12" s="13">
        <v>43405</v>
      </c>
      <c r="B12" s="14">
        <v>103919</v>
      </c>
      <c r="C12" s="15">
        <f>SUM(B12*B10)</f>
        <v>389696.25</v>
      </c>
      <c r="D12" s="14">
        <v>0</v>
      </c>
      <c r="E12" s="15">
        <f>SUM(D12*D10)</f>
        <v>0</v>
      </c>
      <c r="F12" s="14">
        <v>0</v>
      </c>
      <c r="G12" s="15">
        <f>SUM(F12*F10)</f>
        <v>0</v>
      </c>
      <c r="H12" s="14">
        <v>0</v>
      </c>
      <c r="I12" s="15">
        <f>SUM(H12*H10)</f>
        <v>0</v>
      </c>
      <c r="J12" s="14">
        <v>0</v>
      </c>
      <c r="K12" s="15">
        <f>SUM(J12*J10)</f>
        <v>0</v>
      </c>
      <c r="L12" s="14">
        <v>0</v>
      </c>
      <c r="M12" s="15">
        <f>SUM(L12*L10)</f>
        <v>0</v>
      </c>
    </row>
    <row r="13" spans="1:13" s="1" customFormat="1" ht="12.75" x14ac:dyDescent="0.15">
      <c r="A13" s="13">
        <v>43435</v>
      </c>
      <c r="B13" s="14">
        <v>116210</v>
      </c>
      <c r="C13" s="15">
        <f>SUM(B13*B10)</f>
        <v>435787.5</v>
      </c>
      <c r="D13" s="14">
        <v>0</v>
      </c>
      <c r="E13" s="15">
        <f>SUM(D13*D10)</f>
        <v>0</v>
      </c>
      <c r="F13" s="14">
        <v>0</v>
      </c>
      <c r="G13" s="15">
        <f>SUM(F13*F10)</f>
        <v>0</v>
      </c>
      <c r="H13" s="14">
        <v>0</v>
      </c>
      <c r="I13" s="15">
        <f>SUM(H13*H10)</f>
        <v>0</v>
      </c>
      <c r="J13" s="14">
        <v>0</v>
      </c>
      <c r="K13" s="15">
        <f>SUM(J13*J10)</f>
        <v>0</v>
      </c>
      <c r="L13" s="14">
        <v>0</v>
      </c>
      <c r="M13" s="15">
        <f>SUM(L13*L10)</f>
        <v>0</v>
      </c>
    </row>
    <row r="14" spans="1:13" s="1" customFormat="1" ht="12.75" x14ac:dyDescent="0.15">
      <c r="A14" s="13">
        <v>43466</v>
      </c>
      <c r="B14" s="14">
        <v>101919</v>
      </c>
      <c r="C14" s="15">
        <f>SUM(B14*B10)</f>
        <v>382196.25</v>
      </c>
      <c r="D14" s="14">
        <v>0</v>
      </c>
      <c r="E14" s="15">
        <f>SUM(D14*D10)</f>
        <v>0</v>
      </c>
      <c r="F14" s="14">
        <v>0</v>
      </c>
      <c r="G14" s="15">
        <f>SUM(F14*F10)</f>
        <v>0</v>
      </c>
      <c r="H14" s="14">
        <v>0</v>
      </c>
      <c r="I14" s="15">
        <f>SUM(H14*H10)</f>
        <v>0</v>
      </c>
      <c r="J14" s="14">
        <v>0</v>
      </c>
      <c r="K14" s="15">
        <f>SUM(J14*J10)</f>
        <v>0</v>
      </c>
      <c r="L14" s="14">
        <v>0</v>
      </c>
      <c r="M14" s="15">
        <f>SUM(L14*L10)</f>
        <v>0</v>
      </c>
    </row>
    <row r="15" spans="1:13" s="1" customFormat="1" ht="12.75" x14ac:dyDescent="0.15">
      <c r="A15" s="13">
        <v>43497</v>
      </c>
      <c r="B15" s="14">
        <v>89984</v>
      </c>
      <c r="C15" s="15">
        <f>SUM(B15*B10)</f>
        <v>337440</v>
      </c>
      <c r="D15" s="14">
        <v>0</v>
      </c>
      <c r="E15" s="15">
        <f>SUM(D15*D10)</f>
        <v>0</v>
      </c>
      <c r="F15" s="14">
        <v>0</v>
      </c>
      <c r="G15" s="15">
        <f>SUM(F15*F10)</f>
        <v>0</v>
      </c>
      <c r="H15" s="14">
        <v>0</v>
      </c>
      <c r="I15" s="15">
        <f>SUM(H15*H10)</f>
        <v>0</v>
      </c>
      <c r="J15" s="14">
        <v>0</v>
      </c>
      <c r="K15" s="15">
        <f>SUM(J15*J10)</f>
        <v>0</v>
      </c>
      <c r="L15" s="14">
        <v>0</v>
      </c>
      <c r="M15" s="15">
        <f>SUM(L15*L10)</f>
        <v>0</v>
      </c>
    </row>
    <row r="16" spans="1:13" s="1" customFormat="1" ht="12.75" x14ac:dyDescent="0.15">
      <c r="A16" s="13">
        <v>43525</v>
      </c>
      <c r="B16" s="14">
        <v>102846</v>
      </c>
      <c r="C16" s="15">
        <f>SUM(B16*B10)</f>
        <v>385672.5</v>
      </c>
      <c r="D16" s="14">
        <v>0</v>
      </c>
      <c r="E16" s="15">
        <f>SUM(D16*D10)</f>
        <v>0</v>
      </c>
      <c r="F16" s="14">
        <v>0</v>
      </c>
      <c r="G16" s="15">
        <f>SUM(F16*F10)</f>
        <v>0</v>
      </c>
      <c r="H16" s="14">
        <v>0</v>
      </c>
      <c r="I16" s="15">
        <f>SUM(H16*H10)</f>
        <v>0</v>
      </c>
      <c r="J16" s="14">
        <v>0</v>
      </c>
      <c r="K16" s="15">
        <f>SUM(J16*J10)</f>
        <v>0</v>
      </c>
      <c r="L16" s="14">
        <v>0</v>
      </c>
      <c r="M16" s="15">
        <f>SUM(L16*L10)</f>
        <v>0</v>
      </c>
    </row>
    <row r="17" spans="1:13" s="1" customFormat="1" ht="12.75" x14ac:dyDescent="0.15">
      <c r="A17" s="13">
        <v>43556</v>
      </c>
      <c r="B17" s="14">
        <v>78156</v>
      </c>
      <c r="C17" s="15">
        <f>SUM(B17*B10)</f>
        <v>293085</v>
      </c>
      <c r="D17" s="14">
        <v>0</v>
      </c>
      <c r="E17" s="15">
        <f>SUM(D17*D10)</f>
        <v>0</v>
      </c>
      <c r="F17" s="14">
        <v>0</v>
      </c>
      <c r="G17" s="15">
        <f>SUM(F17*F10)</f>
        <v>0</v>
      </c>
      <c r="H17" s="14">
        <v>0</v>
      </c>
      <c r="I17" s="15">
        <f>SUM(H17*H10)</f>
        <v>0</v>
      </c>
      <c r="J17" s="14">
        <v>0</v>
      </c>
      <c r="K17" s="15">
        <f>SUM(J17*J10)</f>
        <v>0</v>
      </c>
      <c r="L17" s="14">
        <v>0</v>
      </c>
      <c r="M17" s="15">
        <f>SUM(L17*L10)</f>
        <v>0</v>
      </c>
    </row>
    <row r="18" spans="1:13" s="1" customFormat="1" ht="12.75" x14ac:dyDescent="0.15">
      <c r="A18" s="13">
        <v>43586</v>
      </c>
      <c r="B18" s="14">
        <v>94904</v>
      </c>
      <c r="C18" s="15">
        <f>SUM(B18*B10)</f>
        <v>355890</v>
      </c>
      <c r="D18" s="14">
        <v>0</v>
      </c>
      <c r="E18" s="15">
        <f>SUM(D18*D10)</f>
        <v>0</v>
      </c>
      <c r="F18" s="14">
        <v>0</v>
      </c>
      <c r="G18" s="15">
        <f>SUM(F18*F10)</f>
        <v>0</v>
      </c>
      <c r="H18" s="14">
        <v>0</v>
      </c>
      <c r="I18" s="15">
        <f>SUM(H18*H10)</f>
        <v>0</v>
      </c>
      <c r="J18" s="14">
        <v>0</v>
      </c>
      <c r="K18" s="15">
        <f>SUM(J18*J10)</f>
        <v>0</v>
      </c>
      <c r="L18" s="14">
        <v>0</v>
      </c>
      <c r="M18" s="15">
        <f>SUM(L18*L10)</f>
        <v>0</v>
      </c>
    </row>
    <row r="19" spans="1:13" s="1" customFormat="1" ht="12.75" x14ac:dyDescent="0.15">
      <c r="A19" s="13">
        <v>43617</v>
      </c>
      <c r="B19" s="14">
        <v>100842</v>
      </c>
      <c r="C19" s="15">
        <f>SUM(B19*B10)</f>
        <v>378157.5</v>
      </c>
      <c r="D19" s="14">
        <v>0</v>
      </c>
      <c r="E19" s="15">
        <f>SUM(D19*D20)</f>
        <v>0</v>
      </c>
      <c r="F19" s="14">
        <v>0</v>
      </c>
      <c r="G19" s="15">
        <f>SUM(F19*F20)</f>
        <v>0</v>
      </c>
      <c r="H19" s="14">
        <v>0</v>
      </c>
      <c r="I19" s="15">
        <f>SUM(H19*H20)</f>
        <v>0</v>
      </c>
      <c r="J19" s="14">
        <v>0</v>
      </c>
      <c r="K19" s="15">
        <f>SUM(J19*J20)</f>
        <v>0</v>
      </c>
      <c r="L19" s="14">
        <v>0</v>
      </c>
      <c r="M19" s="15">
        <f>SUM(L19*L20)</f>
        <v>0</v>
      </c>
    </row>
    <row r="20" spans="1:13" s="1" customFormat="1" ht="12.75" x14ac:dyDescent="0.15">
      <c r="A20" s="13">
        <v>43647</v>
      </c>
      <c r="B20" s="14">
        <v>106739</v>
      </c>
      <c r="C20" s="15">
        <f>SUM(B20*B10)</f>
        <v>400271.25</v>
      </c>
      <c r="D20" s="14">
        <v>0</v>
      </c>
      <c r="E20" s="15">
        <f>SUM(D20*D10)</f>
        <v>0</v>
      </c>
      <c r="F20" s="14">
        <v>0</v>
      </c>
      <c r="G20" s="15">
        <f>SUM(F20*F10)</f>
        <v>0</v>
      </c>
      <c r="H20" s="14">
        <v>0</v>
      </c>
      <c r="I20" s="15">
        <f>SUM(H20*H10)</f>
        <v>0</v>
      </c>
      <c r="J20" s="14">
        <v>0</v>
      </c>
      <c r="K20" s="15">
        <f>SUM(J20*J10)</f>
        <v>0</v>
      </c>
      <c r="L20" s="14">
        <v>0</v>
      </c>
      <c r="M20" s="15">
        <f>SUM(L20*L10)</f>
        <v>0</v>
      </c>
    </row>
    <row r="21" spans="1:13" s="1" customFormat="1" ht="12.75" x14ac:dyDescent="0.15">
      <c r="A21" s="13">
        <v>43678</v>
      </c>
      <c r="B21" s="14">
        <v>105471</v>
      </c>
      <c r="C21" s="15">
        <f>SUM(B21*B10)</f>
        <v>395516.25</v>
      </c>
      <c r="D21" s="14">
        <v>0</v>
      </c>
      <c r="E21" s="15">
        <f>SUM(D21*D10)</f>
        <v>0</v>
      </c>
      <c r="F21" s="14">
        <v>0</v>
      </c>
      <c r="G21" s="15">
        <f>SUM(F21*F10)</f>
        <v>0</v>
      </c>
      <c r="H21" s="14">
        <v>0</v>
      </c>
      <c r="I21" s="15">
        <f>SUM(H21*H10)</f>
        <v>0</v>
      </c>
      <c r="J21" s="14">
        <v>0</v>
      </c>
      <c r="K21" s="15">
        <f>SUM(J21*J10)</f>
        <v>0</v>
      </c>
      <c r="L21" s="14">
        <v>0</v>
      </c>
      <c r="M21" s="15">
        <f>SUM(L21*L10)</f>
        <v>0</v>
      </c>
    </row>
    <row r="22" spans="1:13" s="1" customFormat="1" ht="12.75" x14ac:dyDescent="0.15">
      <c r="A22" s="13">
        <v>43709</v>
      </c>
      <c r="B22" s="14">
        <v>98795</v>
      </c>
      <c r="C22" s="15">
        <f>SUM(B22*B10)</f>
        <v>370481.25</v>
      </c>
      <c r="D22" s="14">
        <v>0</v>
      </c>
      <c r="E22" s="15">
        <f>SUM(D22*D10)</f>
        <v>0</v>
      </c>
      <c r="F22" s="14">
        <v>0</v>
      </c>
      <c r="G22" s="15">
        <f>SUM(F22*F10)</f>
        <v>0</v>
      </c>
      <c r="H22" s="14">
        <v>0</v>
      </c>
      <c r="I22" s="15">
        <f>SUM(H22*H10)</f>
        <v>0</v>
      </c>
      <c r="J22" s="14">
        <v>0</v>
      </c>
      <c r="K22" s="15">
        <f>SUM(J22*J10)</f>
        <v>0</v>
      </c>
      <c r="L22" s="14">
        <v>0</v>
      </c>
      <c r="M22" s="15">
        <f>SUM(L22*L10)</f>
        <v>0</v>
      </c>
    </row>
    <row r="23" spans="1:13" s="1" customFormat="1" ht="13.5" thickBot="1" x14ac:dyDescent="0.2">
      <c r="A23" s="16" t="s">
        <v>18</v>
      </c>
      <c r="B23" s="17">
        <f t="shared" ref="B23:M23" si="0">SUM(B11:B22)</f>
        <v>1202740</v>
      </c>
      <c r="C23" s="18">
        <f t="shared" si="0"/>
        <v>4510275</v>
      </c>
      <c r="D23" s="17">
        <f t="shared" si="0"/>
        <v>0</v>
      </c>
      <c r="E23" s="18">
        <f t="shared" si="0"/>
        <v>0</v>
      </c>
      <c r="F23" s="19">
        <f t="shared" si="0"/>
        <v>0</v>
      </c>
      <c r="G23" s="18">
        <f t="shared" si="0"/>
        <v>0</v>
      </c>
      <c r="H23" s="19">
        <f t="shared" si="0"/>
        <v>0</v>
      </c>
      <c r="I23" s="18">
        <f t="shared" si="0"/>
        <v>0</v>
      </c>
      <c r="J23" s="19">
        <f t="shared" si="0"/>
        <v>0</v>
      </c>
      <c r="K23" s="18">
        <f t="shared" si="0"/>
        <v>0</v>
      </c>
      <c r="L23" s="19">
        <f t="shared" si="0"/>
        <v>0</v>
      </c>
      <c r="M23" s="18">
        <f t="shared" si="0"/>
        <v>0</v>
      </c>
    </row>
    <row r="24" spans="1:13" s="1" customFormat="1" ht="12.75" thickBot="1" x14ac:dyDescent="0.2"/>
    <row r="25" spans="1:13" s="1" customFormat="1" ht="12.75" x14ac:dyDescent="0.15">
      <c r="A25" s="5" t="s">
        <v>3</v>
      </c>
      <c r="B25" s="6" t="s">
        <v>19</v>
      </c>
      <c r="C25" s="6" t="s">
        <v>20</v>
      </c>
      <c r="D25" s="6" t="s">
        <v>21</v>
      </c>
      <c r="E25" s="6" t="s">
        <v>22</v>
      </c>
      <c r="F25" s="6" t="s">
        <v>23</v>
      </c>
      <c r="G25" s="6" t="s">
        <v>24</v>
      </c>
      <c r="H25" s="6" t="s">
        <v>25</v>
      </c>
      <c r="I25" s="6" t="s">
        <v>26</v>
      </c>
      <c r="J25" s="6" t="s">
        <v>27</v>
      </c>
      <c r="K25" s="6" t="s">
        <v>28</v>
      </c>
      <c r="L25" s="6" t="s">
        <v>29</v>
      </c>
      <c r="M25" s="6" t="s">
        <v>29</v>
      </c>
    </row>
    <row r="26" spans="1:13" s="1" customFormat="1" ht="13.5" thickBot="1" x14ac:dyDescent="0.2">
      <c r="A26" s="8" t="s">
        <v>16</v>
      </c>
      <c r="B26" s="9">
        <v>1</v>
      </c>
      <c r="C26" s="10" t="s">
        <v>17</v>
      </c>
      <c r="D26" s="9" t="s">
        <v>30</v>
      </c>
      <c r="E26" s="10" t="s">
        <v>17</v>
      </c>
      <c r="F26" s="9">
        <v>10</v>
      </c>
      <c r="G26" s="10" t="s">
        <v>17</v>
      </c>
      <c r="H26" s="9">
        <v>1</v>
      </c>
      <c r="I26" s="10" t="s">
        <v>17</v>
      </c>
      <c r="J26" s="10"/>
      <c r="K26" s="10" t="s">
        <v>17</v>
      </c>
      <c r="L26" s="10" t="s">
        <v>31</v>
      </c>
      <c r="M26" s="10" t="s">
        <v>32</v>
      </c>
    </row>
    <row r="27" spans="1:13" s="1" customFormat="1" ht="12.75" x14ac:dyDescent="0.15">
      <c r="A27" s="13">
        <v>43374</v>
      </c>
      <c r="B27" s="14">
        <v>1904</v>
      </c>
      <c r="C27" s="20">
        <f>SUM(B27*B26)</f>
        <v>1904</v>
      </c>
      <c r="D27" s="14">
        <v>0</v>
      </c>
      <c r="E27" s="20">
        <v>0</v>
      </c>
      <c r="F27" s="14">
        <v>548</v>
      </c>
      <c r="G27" s="20">
        <f>F26*F27</f>
        <v>5480</v>
      </c>
      <c r="H27" s="14">
        <v>195924</v>
      </c>
      <c r="I27" s="20">
        <f>SUM(H27*H26)</f>
        <v>195924</v>
      </c>
      <c r="J27" s="14">
        <f>82+541</f>
        <v>623</v>
      </c>
      <c r="K27" s="20">
        <f>246+1893.5+3526.54</f>
        <v>5666.04</v>
      </c>
      <c r="L27" s="21">
        <f t="shared" ref="L27:M38" si="1">B11+D11+F11+H11+J11+L11+B27+D27+F27+H27+J27</f>
        <v>301954</v>
      </c>
      <c r="M27" s="22">
        <f t="shared" si="1"/>
        <v>595055.29</v>
      </c>
    </row>
    <row r="28" spans="1:13" s="1" customFormat="1" ht="12.75" x14ac:dyDescent="0.15">
      <c r="A28" s="13">
        <v>43405</v>
      </c>
      <c r="B28" s="14">
        <v>1558</v>
      </c>
      <c r="C28" s="20">
        <f>SUM(B28*B26)</f>
        <v>1558</v>
      </c>
      <c r="D28" s="14">
        <v>0</v>
      </c>
      <c r="E28" s="20">
        <v>0</v>
      </c>
      <c r="F28" s="14">
        <v>538</v>
      </c>
      <c r="G28" s="20">
        <f>F26*F28</f>
        <v>5380</v>
      </c>
      <c r="H28" s="14">
        <v>188736</v>
      </c>
      <c r="I28" s="20">
        <f>SUM(H28*H26)</f>
        <v>188736</v>
      </c>
      <c r="J28" s="14">
        <f>136+535</f>
        <v>671</v>
      </c>
      <c r="K28" s="20">
        <f>408+1872.5+3599.82</f>
        <v>5880.32</v>
      </c>
      <c r="L28" s="21">
        <f t="shared" si="1"/>
        <v>295422</v>
      </c>
      <c r="M28" s="22">
        <f t="shared" si="1"/>
        <v>591250.56999999995</v>
      </c>
    </row>
    <row r="29" spans="1:13" s="1" customFormat="1" ht="12.75" x14ac:dyDescent="0.15">
      <c r="A29" s="13">
        <v>43435</v>
      </c>
      <c r="B29" s="14">
        <v>1574</v>
      </c>
      <c r="C29" s="20">
        <f>SUM(B29*B26)</f>
        <v>1574</v>
      </c>
      <c r="D29" s="14">
        <v>0</v>
      </c>
      <c r="E29" s="20">
        <v>0</v>
      </c>
      <c r="F29" s="14">
        <v>571</v>
      </c>
      <c r="G29" s="20">
        <f>F26*F29</f>
        <v>5710</v>
      </c>
      <c r="H29" s="14">
        <v>205980</v>
      </c>
      <c r="I29" s="20">
        <f>SUM(H29*H26)</f>
        <v>205980</v>
      </c>
      <c r="J29" s="14">
        <f>341+569</f>
        <v>910</v>
      </c>
      <c r="K29" s="20">
        <f>1023+1991.5+4168.83</f>
        <v>7183.33</v>
      </c>
      <c r="L29" s="21">
        <f t="shared" si="1"/>
        <v>325245</v>
      </c>
      <c r="M29" s="22">
        <f t="shared" si="1"/>
        <v>656234.82999999996</v>
      </c>
    </row>
    <row r="30" spans="1:13" s="1" customFormat="1" ht="12.75" x14ac:dyDescent="0.15">
      <c r="A30" s="13">
        <v>43466</v>
      </c>
      <c r="B30" s="14">
        <v>1585</v>
      </c>
      <c r="C30" s="20">
        <f>SUM(B30*B26)</f>
        <v>1585</v>
      </c>
      <c r="D30" s="14">
        <v>0</v>
      </c>
      <c r="E30" s="20">
        <v>0</v>
      </c>
      <c r="F30" s="14">
        <v>551</v>
      </c>
      <c r="G30" s="20">
        <f>F26*F30</f>
        <v>5510</v>
      </c>
      <c r="H30" s="14">
        <v>181699</v>
      </c>
      <c r="I30" s="20">
        <f>SUM(H30*H26)</f>
        <v>181699</v>
      </c>
      <c r="J30" s="14">
        <f>93+546</f>
        <v>639</v>
      </c>
      <c r="K30" s="20">
        <f>279+1911+3161.69</f>
        <v>5351.6900000000005</v>
      </c>
      <c r="L30" s="21">
        <f t="shared" si="1"/>
        <v>286393</v>
      </c>
      <c r="M30" s="22">
        <f t="shared" si="1"/>
        <v>576341.93999999994</v>
      </c>
    </row>
    <row r="31" spans="1:13" s="1" customFormat="1" ht="12.75" x14ac:dyDescent="0.15">
      <c r="A31" s="13">
        <v>43497</v>
      </c>
      <c r="B31" s="14">
        <v>1631</v>
      </c>
      <c r="C31" s="20">
        <f>SUM(B31*B26)</f>
        <v>1631</v>
      </c>
      <c r="D31" s="14">
        <v>0</v>
      </c>
      <c r="E31" s="20">
        <v>0</v>
      </c>
      <c r="F31" s="14">
        <v>485</v>
      </c>
      <c r="G31" s="20">
        <f>F26*F31</f>
        <v>4850</v>
      </c>
      <c r="H31" s="14">
        <v>178903</v>
      </c>
      <c r="I31" s="20">
        <f>SUM(H31*H26)</f>
        <v>178903</v>
      </c>
      <c r="J31" s="14">
        <v>583</v>
      </c>
      <c r="K31" s="20">
        <f>300+1690.5+2941.03</f>
        <v>4931.5300000000007</v>
      </c>
      <c r="L31" s="21">
        <f t="shared" si="1"/>
        <v>271586</v>
      </c>
      <c r="M31" s="22">
        <f t="shared" si="1"/>
        <v>527755.53</v>
      </c>
    </row>
    <row r="32" spans="1:13" s="1" customFormat="1" ht="12.75" x14ac:dyDescent="0.15">
      <c r="A32" s="13">
        <v>43525</v>
      </c>
      <c r="B32" s="14">
        <v>1632</v>
      </c>
      <c r="C32" s="20">
        <f>SUM(B32*B26)</f>
        <v>1632</v>
      </c>
      <c r="D32" s="14">
        <v>0</v>
      </c>
      <c r="E32" s="20">
        <v>0</v>
      </c>
      <c r="F32" s="14">
        <v>558</v>
      </c>
      <c r="G32" s="20">
        <f>F26*F32</f>
        <v>5580</v>
      </c>
      <c r="H32" s="14">
        <v>196646</v>
      </c>
      <c r="I32" s="20">
        <f>SUM(H32*H26)</f>
        <v>196646</v>
      </c>
      <c r="J32" s="14">
        <f>111+550</f>
        <v>661</v>
      </c>
      <c r="K32" s="20">
        <f>333+1925+3209</f>
        <v>5467</v>
      </c>
      <c r="L32" s="21">
        <f t="shared" si="1"/>
        <v>302343</v>
      </c>
      <c r="M32" s="22">
        <f t="shared" si="1"/>
        <v>594997.5</v>
      </c>
    </row>
    <row r="33" spans="1:13" s="1" customFormat="1" ht="12.75" x14ac:dyDescent="0.15">
      <c r="A33" s="13">
        <v>43556</v>
      </c>
      <c r="B33" s="14">
        <v>2670</v>
      </c>
      <c r="C33" s="20">
        <f>SUM(B33*B26)</f>
        <v>2670</v>
      </c>
      <c r="D33" s="14">
        <v>0</v>
      </c>
      <c r="E33" s="20">
        <v>0</v>
      </c>
      <c r="F33" s="14">
        <v>515</v>
      </c>
      <c r="G33" s="20">
        <f>F26*F33</f>
        <v>5150</v>
      </c>
      <c r="H33" s="14">
        <v>205660</v>
      </c>
      <c r="I33" s="20">
        <f>SUM(H33*H26)</f>
        <v>205660</v>
      </c>
      <c r="J33" s="14">
        <f>123+509</f>
        <v>632</v>
      </c>
      <c r="K33" s="20">
        <f>369+1781.5+3072.95</f>
        <v>5223.45</v>
      </c>
      <c r="L33" s="21">
        <f t="shared" si="1"/>
        <v>287633</v>
      </c>
      <c r="M33" s="22">
        <f t="shared" si="1"/>
        <v>511788.45</v>
      </c>
    </row>
    <row r="34" spans="1:13" s="1" customFormat="1" ht="12.75" x14ac:dyDescent="0.15">
      <c r="A34" s="13">
        <v>43586</v>
      </c>
      <c r="B34" s="14">
        <v>3713</v>
      </c>
      <c r="C34" s="20">
        <f>SUM(B34*B26)</f>
        <v>3713</v>
      </c>
      <c r="D34" s="14">
        <v>0</v>
      </c>
      <c r="E34" s="20">
        <v>0</v>
      </c>
      <c r="F34" s="14">
        <v>514</v>
      </c>
      <c r="G34" s="20">
        <f>F26*F34</f>
        <v>5140</v>
      </c>
      <c r="H34" s="14">
        <v>202283</v>
      </c>
      <c r="I34" s="20">
        <f>SUM(H34*H26)</f>
        <v>202283</v>
      </c>
      <c r="J34" s="14">
        <f>111+510</f>
        <v>621</v>
      </c>
      <c r="K34" s="20">
        <f>333+1785+3367.2</f>
        <v>5485.2</v>
      </c>
      <c r="L34" s="21">
        <f t="shared" si="1"/>
        <v>302035</v>
      </c>
      <c r="M34" s="22">
        <f t="shared" si="1"/>
        <v>572511.19999999995</v>
      </c>
    </row>
    <row r="35" spans="1:13" s="1" customFormat="1" ht="12.75" x14ac:dyDescent="0.15">
      <c r="A35" s="13">
        <v>43617</v>
      </c>
      <c r="B35" s="14">
        <v>3022</v>
      </c>
      <c r="C35" s="20">
        <f>SUM(B35*B26)</f>
        <v>3022</v>
      </c>
      <c r="D35" s="14">
        <v>0</v>
      </c>
      <c r="E35" s="20">
        <v>0</v>
      </c>
      <c r="F35" s="14">
        <v>521</v>
      </c>
      <c r="G35" s="20">
        <f>F26*F35</f>
        <v>5210</v>
      </c>
      <c r="H35" s="14">
        <v>182817</v>
      </c>
      <c r="I35" s="20">
        <f>SUM(H35*H26)</f>
        <v>182817</v>
      </c>
      <c r="J35" s="14">
        <f>144+514</f>
        <v>658</v>
      </c>
      <c r="K35" s="20">
        <f>432+1799+3252.84</f>
        <v>5483.84</v>
      </c>
      <c r="L35" s="21">
        <f t="shared" si="1"/>
        <v>287860</v>
      </c>
      <c r="M35" s="22">
        <f t="shared" si="1"/>
        <v>574690.34</v>
      </c>
    </row>
    <row r="36" spans="1:13" s="1" customFormat="1" ht="12.75" x14ac:dyDescent="0.15">
      <c r="A36" s="13">
        <v>43647</v>
      </c>
      <c r="B36" s="14">
        <v>3320</v>
      </c>
      <c r="C36" s="20">
        <f>SUM(B36*B26)</f>
        <v>3320</v>
      </c>
      <c r="D36" s="14">
        <v>0</v>
      </c>
      <c r="E36" s="20">
        <v>0</v>
      </c>
      <c r="F36" s="14">
        <v>529</v>
      </c>
      <c r="G36" s="20">
        <f>F26*F36</f>
        <v>5290</v>
      </c>
      <c r="H36" s="14">
        <v>185027</v>
      </c>
      <c r="I36" s="20">
        <f>SUM(H36*H26)</f>
        <v>185027</v>
      </c>
      <c r="J36" s="14">
        <f>175+519</f>
        <v>694</v>
      </c>
      <c r="K36" s="20">
        <f>525+1816.5+3342.53</f>
        <v>5684.0300000000007</v>
      </c>
      <c r="L36" s="21">
        <f t="shared" si="1"/>
        <v>296309</v>
      </c>
      <c r="M36" s="22">
        <f t="shared" si="1"/>
        <v>599592.28</v>
      </c>
    </row>
    <row r="37" spans="1:13" s="1" customFormat="1" ht="12.75" x14ac:dyDescent="0.15">
      <c r="A37" s="13">
        <v>43678</v>
      </c>
      <c r="B37" s="14">
        <v>3930</v>
      </c>
      <c r="C37" s="20">
        <f>SUM(B37*B26)</f>
        <v>3930</v>
      </c>
      <c r="D37" s="14">
        <v>0</v>
      </c>
      <c r="E37" s="20">
        <v>0</v>
      </c>
      <c r="F37" s="14">
        <v>545</v>
      </c>
      <c r="G37" s="20">
        <f>F26*F37</f>
        <v>5450</v>
      </c>
      <c r="H37" s="14">
        <v>196865</v>
      </c>
      <c r="I37" s="20">
        <f>SUM(H37*H26)</f>
        <v>196865</v>
      </c>
      <c r="J37" s="14">
        <f>102+542</f>
        <v>644</v>
      </c>
      <c r="K37" s="20">
        <f>306+1897+3496.29</f>
        <v>5699.29</v>
      </c>
      <c r="L37" s="21">
        <f t="shared" si="1"/>
        <v>307455</v>
      </c>
      <c r="M37" s="22">
        <f t="shared" si="1"/>
        <v>607460.54</v>
      </c>
    </row>
    <row r="38" spans="1:13" s="1" customFormat="1" ht="12.75" x14ac:dyDescent="0.15">
      <c r="A38" s="13">
        <v>43709</v>
      </c>
      <c r="B38" s="14">
        <v>3837</v>
      </c>
      <c r="C38" s="20">
        <f>SUM(B38*B26)</f>
        <v>3837</v>
      </c>
      <c r="D38" s="14">
        <v>0</v>
      </c>
      <c r="E38" s="20">
        <v>0</v>
      </c>
      <c r="F38" s="14">
        <v>519</v>
      </c>
      <c r="G38" s="20">
        <f>F38*F26</f>
        <v>5190</v>
      </c>
      <c r="H38" s="14">
        <v>190940</v>
      </c>
      <c r="I38" s="20">
        <f>SUM(H38*H26)</f>
        <v>190940</v>
      </c>
      <c r="J38" s="14">
        <f>109+512</f>
        <v>621</v>
      </c>
      <c r="K38" s="20">
        <f>327+1792+2997.53</f>
        <v>5116.5300000000007</v>
      </c>
      <c r="L38" s="21">
        <f t="shared" si="1"/>
        <v>294712</v>
      </c>
      <c r="M38" s="22">
        <f t="shared" si="1"/>
        <v>575564.78</v>
      </c>
    </row>
    <row r="39" spans="1:13" s="1" customFormat="1" ht="13.5" thickBot="1" x14ac:dyDescent="0.2">
      <c r="A39" s="16" t="s">
        <v>18</v>
      </c>
      <c r="B39" s="17">
        <f t="shared" ref="B39:M39" si="2">SUM(B27:B38)</f>
        <v>30376</v>
      </c>
      <c r="C39" s="23">
        <f t="shared" si="2"/>
        <v>30376</v>
      </c>
      <c r="D39" s="19">
        <f t="shared" si="2"/>
        <v>0</v>
      </c>
      <c r="E39" s="23">
        <f t="shared" si="2"/>
        <v>0</v>
      </c>
      <c r="F39" s="17">
        <f t="shared" si="2"/>
        <v>6394</v>
      </c>
      <c r="G39" s="23">
        <f t="shared" si="2"/>
        <v>63940</v>
      </c>
      <c r="H39" s="17">
        <f t="shared" si="2"/>
        <v>2311480</v>
      </c>
      <c r="I39" s="23">
        <f t="shared" si="2"/>
        <v>2311480</v>
      </c>
      <c r="J39" s="17">
        <f t="shared" si="2"/>
        <v>7957</v>
      </c>
      <c r="K39" s="23">
        <f t="shared" si="2"/>
        <v>67172.25</v>
      </c>
      <c r="L39" s="24">
        <f t="shared" si="2"/>
        <v>3558947</v>
      </c>
      <c r="M39" s="25">
        <f t="shared" si="2"/>
        <v>6983243.2500000009</v>
      </c>
    </row>
    <row r="40" spans="1:13" s="1" customFormat="1" x14ac:dyDescent="0.15"/>
    <row r="41" spans="1:13" s="1" customFormat="1" ht="15" customHeight="1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s="1" customFormat="1" x14ac:dyDescent="0.15">
      <c r="A42" s="26"/>
    </row>
    <row r="43" spans="1:13" s="1" customFormat="1" ht="15.75" x14ac:dyDescent="0.15">
      <c r="A43" s="3" t="s">
        <v>33</v>
      </c>
    </row>
    <row r="44" spans="1:13" s="1" customFormat="1" ht="17.25" customHeight="1" x14ac:dyDescent="0.15">
      <c r="A44" s="28" t="s">
        <v>34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s="1" customFormat="1" ht="17.25" customHeight="1" x14ac:dyDescent="0.15">
      <c r="A45" s="29" t="s">
        <v>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s="1" customFormat="1" ht="17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1" customFormat="1" ht="17.25" customHeight="1" x14ac:dyDescent="0.15"/>
    <row r="48" spans="1:13" s="1" customFormat="1" ht="17.25" customHeight="1" x14ac:dyDescent="0.15"/>
    <row r="49" spans="1:13" s="1" customFormat="1" ht="13.5" customHeight="1" x14ac:dyDescent="0.15">
      <c r="A49" s="3" t="s">
        <v>2</v>
      </c>
      <c r="B49" s="4"/>
      <c r="C49" s="4"/>
      <c r="D49" s="4"/>
      <c r="E49" s="3"/>
      <c r="F49" s="4"/>
      <c r="G49" s="4"/>
      <c r="H49" s="4"/>
      <c r="I49" s="4"/>
      <c r="L49" s="4"/>
      <c r="M49" s="4"/>
    </row>
    <row r="50" spans="1:13" s="1" customFormat="1" ht="13.5" thickBo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1" customFormat="1" ht="12.75" x14ac:dyDescent="0.15">
      <c r="A51" s="5" t="s">
        <v>3</v>
      </c>
      <c r="B51" s="6" t="s">
        <v>4</v>
      </c>
      <c r="C51" s="6" t="s">
        <v>5</v>
      </c>
      <c r="D51" s="6" t="s">
        <v>6</v>
      </c>
      <c r="E51" s="6" t="s">
        <v>7</v>
      </c>
      <c r="F51" s="6" t="s">
        <v>8</v>
      </c>
      <c r="G51" s="7" t="s">
        <v>9</v>
      </c>
      <c r="H51" s="6" t="s">
        <v>10</v>
      </c>
      <c r="I51" s="7" t="s">
        <v>11</v>
      </c>
      <c r="J51" s="6" t="s">
        <v>12</v>
      </c>
      <c r="K51" s="7" t="s">
        <v>13</v>
      </c>
      <c r="L51" s="5" t="s">
        <v>14</v>
      </c>
      <c r="M51" s="6" t="s">
        <v>15</v>
      </c>
    </row>
    <row r="52" spans="1:13" s="1" customFormat="1" ht="13.5" thickBot="1" x14ac:dyDescent="0.2">
      <c r="A52" s="8" t="s">
        <v>16</v>
      </c>
      <c r="B52" s="9">
        <v>3.75</v>
      </c>
      <c r="C52" s="10" t="s">
        <v>17</v>
      </c>
      <c r="D52" s="9">
        <v>11</v>
      </c>
      <c r="E52" s="10" t="s">
        <v>17</v>
      </c>
      <c r="F52" s="9">
        <v>15</v>
      </c>
      <c r="G52" s="11" t="s">
        <v>17</v>
      </c>
      <c r="H52" s="9">
        <v>17.25</v>
      </c>
      <c r="I52" s="11" t="s">
        <v>17</v>
      </c>
      <c r="J52" s="9">
        <v>22</v>
      </c>
      <c r="K52" s="11" t="s">
        <v>17</v>
      </c>
      <c r="L52" s="12">
        <v>25</v>
      </c>
      <c r="M52" s="10" t="s">
        <v>17</v>
      </c>
    </row>
    <row r="53" spans="1:13" s="1" customFormat="1" ht="12.75" x14ac:dyDescent="0.15">
      <c r="A53" s="13">
        <v>43374</v>
      </c>
      <c r="B53" s="14">
        <v>32058</v>
      </c>
      <c r="C53" s="15">
        <f>SUM(B53*B52)</f>
        <v>120217.5</v>
      </c>
      <c r="D53" s="14">
        <v>138</v>
      </c>
      <c r="E53" s="15">
        <f>SUM(D53*D52)</f>
        <v>1518</v>
      </c>
      <c r="F53" s="14">
        <v>229</v>
      </c>
      <c r="G53" s="15">
        <f>SUM(F53*F52)</f>
        <v>3435</v>
      </c>
      <c r="H53" s="14">
        <v>36</v>
      </c>
      <c r="I53" s="15">
        <f>SUM(H53*H52)</f>
        <v>621</v>
      </c>
      <c r="J53" s="14">
        <v>1537</v>
      </c>
      <c r="K53" s="15">
        <f>SUM(J53*J52)</f>
        <v>33814</v>
      </c>
      <c r="L53" s="14">
        <v>45</v>
      </c>
      <c r="M53" s="15">
        <f>SUM(L53*L52)</f>
        <v>1125</v>
      </c>
    </row>
    <row r="54" spans="1:13" s="1" customFormat="1" ht="12.75" x14ac:dyDescent="0.15">
      <c r="A54" s="13">
        <v>43405</v>
      </c>
      <c r="B54" s="14">
        <v>32269</v>
      </c>
      <c r="C54" s="15">
        <f>SUM(B54*B52)</f>
        <v>121008.75</v>
      </c>
      <c r="D54" s="14">
        <v>129</v>
      </c>
      <c r="E54" s="15">
        <f>SUM(D54*D52)</f>
        <v>1419</v>
      </c>
      <c r="F54" s="14">
        <v>292</v>
      </c>
      <c r="G54" s="15">
        <f>SUM(F54*F52)</f>
        <v>4380</v>
      </c>
      <c r="H54" s="14">
        <v>11</v>
      </c>
      <c r="I54" s="15">
        <f>SUM(H54*H52)</f>
        <v>189.75</v>
      </c>
      <c r="J54" s="14">
        <v>1284</v>
      </c>
      <c r="K54" s="15">
        <f>SUM(J54*J52)</f>
        <v>28248</v>
      </c>
      <c r="L54" s="14">
        <v>65</v>
      </c>
      <c r="M54" s="15">
        <f>SUM(L54*L52)</f>
        <v>1625</v>
      </c>
    </row>
    <row r="55" spans="1:13" s="1" customFormat="1" ht="12.75" x14ac:dyDescent="0.15">
      <c r="A55" s="13">
        <v>43435</v>
      </c>
      <c r="B55" s="14">
        <v>37731</v>
      </c>
      <c r="C55" s="15">
        <f>SUM(B55*B52)</f>
        <v>141491.25</v>
      </c>
      <c r="D55" s="14">
        <v>95</v>
      </c>
      <c r="E55" s="15">
        <f>SUM(D55*D52)</f>
        <v>1045</v>
      </c>
      <c r="F55" s="14">
        <v>191</v>
      </c>
      <c r="G55" s="15">
        <f>SUM(F55*F52)</f>
        <v>2865</v>
      </c>
      <c r="H55" s="14">
        <v>8</v>
      </c>
      <c r="I55" s="15">
        <f>SUM(H55*H52)</f>
        <v>138</v>
      </c>
      <c r="J55" s="14">
        <v>1209</v>
      </c>
      <c r="K55" s="15">
        <f>SUM(J55*J52)</f>
        <v>26598</v>
      </c>
      <c r="L55" s="14">
        <v>70</v>
      </c>
      <c r="M55" s="15">
        <f>SUM(L55*L52)</f>
        <v>1750</v>
      </c>
    </row>
    <row r="56" spans="1:13" s="1" customFormat="1" ht="12.75" x14ac:dyDescent="0.15">
      <c r="A56" s="13">
        <v>43466</v>
      </c>
      <c r="B56" s="14">
        <v>32319</v>
      </c>
      <c r="C56" s="15">
        <f>SUM(B56*B52)</f>
        <v>121196.25</v>
      </c>
      <c r="D56" s="14">
        <v>108</v>
      </c>
      <c r="E56" s="15">
        <f>SUM(D56*D52)</f>
        <v>1188</v>
      </c>
      <c r="F56" s="14">
        <v>302</v>
      </c>
      <c r="G56" s="15">
        <f>SUM(F56*F52)</f>
        <v>4530</v>
      </c>
      <c r="H56" s="14">
        <v>3</v>
      </c>
      <c r="I56" s="15">
        <f>SUM(H56*H52)</f>
        <v>51.75</v>
      </c>
      <c r="J56" s="14">
        <v>1699</v>
      </c>
      <c r="K56" s="15">
        <f>SUM(J56*J52)</f>
        <v>37378</v>
      </c>
      <c r="L56" s="14">
        <v>51</v>
      </c>
      <c r="M56" s="15">
        <f>SUM(L56*L52)</f>
        <v>1275</v>
      </c>
    </row>
    <row r="57" spans="1:13" s="1" customFormat="1" ht="12.75" x14ac:dyDescent="0.15">
      <c r="A57" s="13">
        <v>43497</v>
      </c>
      <c r="B57" s="14">
        <v>30823</v>
      </c>
      <c r="C57" s="15">
        <f>SUM(B57*B52)</f>
        <v>115586.25</v>
      </c>
      <c r="D57" s="14">
        <v>100</v>
      </c>
      <c r="E57" s="15">
        <f>SUM(D57*D52)</f>
        <v>1100</v>
      </c>
      <c r="F57" s="14">
        <v>327</v>
      </c>
      <c r="G57" s="15">
        <f>SUM(F57*F52)</f>
        <v>4905</v>
      </c>
      <c r="H57" s="14">
        <v>3</v>
      </c>
      <c r="I57" s="15">
        <f>SUM(H57*H52)</f>
        <v>51.75</v>
      </c>
      <c r="J57" s="14">
        <v>1538</v>
      </c>
      <c r="K57" s="15">
        <f>SUM(J57*J52)</f>
        <v>33836</v>
      </c>
      <c r="L57" s="14">
        <v>62</v>
      </c>
      <c r="M57" s="15">
        <f>SUM(L57*L52)</f>
        <v>1550</v>
      </c>
    </row>
    <row r="58" spans="1:13" s="1" customFormat="1" ht="12.75" x14ac:dyDescent="0.15">
      <c r="A58" s="13">
        <v>43525</v>
      </c>
      <c r="B58" s="14">
        <v>35211</v>
      </c>
      <c r="C58" s="15">
        <f>SUM(B58*B52)</f>
        <v>132041.25</v>
      </c>
      <c r="D58" s="14">
        <v>123</v>
      </c>
      <c r="E58" s="15">
        <f>SUM(D58*D52)</f>
        <v>1353</v>
      </c>
      <c r="F58" s="14">
        <v>304</v>
      </c>
      <c r="G58" s="15">
        <f>SUM(F58*F52)</f>
        <v>4560</v>
      </c>
      <c r="H58" s="14">
        <v>6</v>
      </c>
      <c r="I58" s="15">
        <f>SUM(H58*H52)</f>
        <v>103.5</v>
      </c>
      <c r="J58" s="14">
        <v>1424</v>
      </c>
      <c r="K58" s="15">
        <f>SUM(J58*J52)</f>
        <v>31328</v>
      </c>
      <c r="L58" s="14">
        <v>18</v>
      </c>
      <c r="M58" s="15">
        <f>SUM(L58*L52)</f>
        <v>450</v>
      </c>
    </row>
    <row r="59" spans="1:13" s="1" customFormat="1" ht="12.75" x14ac:dyDescent="0.15">
      <c r="A59" s="13">
        <v>43556</v>
      </c>
      <c r="B59" s="14">
        <v>26424</v>
      </c>
      <c r="C59" s="15">
        <f>SUM(B59*B52)</f>
        <v>99090</v>
      </c>
      <c r="D59" s="14">
        <v>105</v>
      </c>
      <c r="E59" s="15">
        <f>SUM(D59*D52)</f>
        <v>1155</v>
      </c>
      <c r="F59" s="14">
        <v>349</v>
      </c>
      <c r="G59" s="15">
        <f>SUM(F59*F52)</f>
        <v>5235</v>
      </c>
      <c r="H59" s="14">
        <v>11</v>
      </c>
      <c r="I59" s="15">
        <f>SUM(H59*H52)</f>
        <v>189.75</v>
      </c>
      <c r="J59" s="14">
        <v>995</v>
      </c>
      <c r="K59" s="15">
        <f>SUM(J59*J52)</f>
        <v>21890</v>
      </c>
      <c r="L59" s="14">
        <v>23</v>
      </c>
      <c r="M59" s="15">
        <f>SUM(L59*L52)</f>
        <v>575</v>
      </c>
    </row>
    <row r="60" spans="1:13" s="1" customFormat="1" ht="12.75" x14ac:dyDescent="0.15">
      <c r="A60" s="13">
        <v>43586</v>
      </c>
      <c r="B60" s="14">
        <v>32561</v>
      </c>
      <c r="C60" s="15">
        <f>SUM(B60*B52)</f>
        <v>122103.75</v>
      </c>
      <c r="D60" s="14">
        <v>110</v>
      </c>
      <c r="E60" s="15">
        <f>SUM(D60*D52)</f>
        <v>1210</v>
      </c>
      <c r="F60" s="14">
        <v>499</v>
      </c>
      <c r="G60" s="15">
        <f>SUM(F60*F52)</f>
        <v>7485</v>
      </c>
      <c r="H60" s="14">
        <v>6</v>
      </c>
      <c r="I60" s="15">
        <f>SUM(H60*H52)</f>
        <v>103.5</v>
      </c>
      <c r="J60" s="14">
        <v>1067</v>
      </c>
      <c r="K60" s="15">
        <f>SUM(J60*J52)</f>
        <v>23474</v>
      </c>
      <c r="L60" s="14">
        <v>44</v>
      </c>
      <c r="M60" s="15">
        <f>SUM(L60*L52)</f>
        <v>1100</v>
      </c>
    </row>
    <row r="61" spans="1:13" s="1" customFormat="1" ht="12.75" x14ac:dyDescent="0.15">
      <c r="A61" s="13">
        <v>43617</v>
      </c>
      <c r="B61" s="14">
        <v>33334</v>
      </c>
      <c r="C61" s="15">
        <f>SUM(B61*B52)</f>
        <v>125002.5</v>
      </c>
      <c r="D61" s="14">
        <v>108</v>
      </c>
      <c r="E61" s="15">
        <f>SUM(D61*D52)</f>
        <v>1188</v>
      </c>
      <c r="F61" s="14">
        <v>711</v>
      </c>
      <c r="G61" s="15">
        <f>SUM(F61*F52)</f>
        <v>10665</v>
      </c>
      <c r="H61" s="14">
        <v>5</v>
      </c>
      <c r="I61" s="15">
        <f>SUM(H61*H52)</f>
        <v>86.25</v>
      </c>
      <c r="J61" s="14">
        <v>1306</v>
      </c>
      <c r="K61" s="15">
        <f>SUM(J61*J52)</f>
        <v>28732</v>
      </c>
      <c r="L61" s="14">
        <v>18</v>
      </c>
      <c r="M61" s="15">
        <f>SUM(L61*L52)</f>
        <v>450</v>
      </c>
    </row>
    <row r="62" spans="1:13" s="1" customFormat="1" ht="12.75" x14ac:dyDescent="0.15">
      <c r="A62" s="13">
        <v>43647</v>
      </c>
      <c r="B62" s="14">
        <v>34790</v>
      </c>
      <c r="C62" s="15">
        <f>SUM(B62*B52)</f>
        <v>130462.5</v>
      </c>
      <c r="D62" s="14">
        <v>115</v>
      </c>
      <c r="E62" s="15">
        <f>SUM(D62*D52)</f>
        <v>1265</v>
      </c>
      <c r="F62" s="14">
        <v>898</v>
      </c>
      <c r="G62" s="15">
        <f>SUM(F62*F52)</f>
        <v>13470</v>
      </c>
      <c r="H62" s="14">
        <v>2</v>
      </c>
      <c r="I62" s="15">
        <f>SUM(H62*H52)</f>
        <v>34.5</v>
      </c>
      <c r="J62" s="14">
        <v>1314</v>
      </c>
      <c r="K62" s="15">
        <f>SUM(J62*J52)</f>
        <v>28908</v>
      </c>
      <c r="L62" s="14">
        <v>18</v>
      </c>
      <c r="M62" s="15">
        <f>SUM(L62*L52)</f>
        <v>450</v>
      </c>
    </row>
    <row r="63" spans="1:13" s="1" customFormat="1" ht="12.75" x14ac:dyDescent="0.15">
      <c r="A63" s="13">
        <v>43678</v>
      </c>
      <c r="B63" s="14">
        <v>34222</v>
      </c>
      <c r="C63" s="15">
        <f>SUM(B63*B52)</f>
        <v>128332.5</v>
      </c>
      <c r="D63" s="14">
        <v>133</v>
      </c>
      <c r="E63" s="15">
        <f>SUM(D63*D52)</f>
        <v>1463</v>
      </c>
      <c r="F63" s="14">
        <v>931</v>
      </c>
      <c r="G63" s="15">
        <f>SUM(F63*F52)</f>
        <v>13965</v>
      </c>
      <c r="H63" s="14">
        <v>17</v>
      </c>
      <c r="I63" s="15">
        <f>SUM(H63*H52)</f>
        <v>293.25</v>
      </c>
      <c r="J63" s="14">
        <v>1192</v>
      </c>
      <c r="K63" s="15">
        <f>SUM(J63*J52)</f>
        <v>26224</v>
      </c>
      <c r="L63" s="14">
        <v>32</v>
      </c>
      <c r="M63" s="15">
        <f>SUM(L63*L52)</f>
        <v>800</v>
      </c>
    </row>
    <row r="64" spans="1:13" s="1" customFormat="1" ht="12.75" x14ac:dyDescent="0.15">
      <c r="A64" s="13">
        <v>43709</v>
      </c>
      <c r="B64" s="14">
        <v>30410</v>
      </c>
      <c r="C64" s="15">
        <f>B64*B52</f>
        <v>114037.5</v>
      </c>
      <c r="D64" s="14">
        <v>96</v>
      </c>
      <c r="E64" s="15">
        <f>SUM(D64*D52)</f>
        <v>1056</v>
      </c>
      <c r="F64" s="14">
        <v>778</v>
      </c>
      <c r="G64" s="15">
        <f>SUM(F64*F52)</f>
        <v>11670</v>
      </c>
      <c r="H64" s="14">
        <v>8</v>
      </c>
      <c r="I64" s="15">
        <f>H64*H52</f>
        <v>138</v>
      </c>
      <c r="J64" s="14">
        <v>989</v>
      </c>
      <c r="K64" s="15">
        <f>SUM(J64*J52)</f>
        <v>21758</v>
      </c>
      <c r="L64" s="14">
        <v>26</v>
      </c>
      <c r="M64" s="15">
        <f>SUM(L64*L52)</f>
        <v>650</v>
      </c>
    </row>
    <row r="65" spans="1:13" s="1" customFormat="1" ht="13.5" thickBot="1" x14ac:dyDescent="0.2">
      <c r="A65" s="16" t="s">
        <v>18</v>
      </c>
      <c r="B65" s="17">
        <f t="shared" ref="B65:M65" si="3">SUM(B53:B64)</f>
        <v>392152</v>
      </c>
      <c r="C65" s="18">
        <f t="shared" si="3"/>
        <v>1470570</v>
      </c>
      <c r="D65" s="17">
        <f t="shared" si="3"/>
        <v>1360</v>
      </c>
      <c r="E65" s="18">
        <f t="shared" si="3"/>
        <v>14960</v>
      </c>
      <c r="F65" s="17">
        <f t="shared" si="3"/>
        <v>5811</v>
      </c>
      <c r="G65" s="18">
        <f t="shared" si="3"/>
        <v>87165</v>
      </c>
      <c r="H65" s="19">
        <f t="shared" si="3"/>
        <v>116</v>
      </c>
      <c r="I65" s="18">
        <f t="shared" si="3"/>
        <v>2001</v>
      </c>
      <c r="J65" s="17">
        <f t="shared" si="3"/>
        <v>15554</v>
      </c>
      <c r="K65" s="18">
        <f t="shared" si="3"/>
        <v>342188</v>
      </c>
      <c r="L65" s="19">
        <f t="shared" si="3"/>
        <v>472</v>
      </c>
      <c r="M65" s="18">
        <f t="shared" si="3"/>
        <v>11800</v>
      </c>
    </row>
    <row r="66" spans="1:13" s="1" customFormat="1" ht="12.75" thickBot="1" x14ac:dyDescent="0.2"/>
    <row r="67" spans="1:13" s="1" customFormat="1" ht="12.75" x14ac:dyDescent="0.15">
      <c r="A67" s="5" t="s">
        <v>3</v>
      </c>
      <c r="B67" s="6" t="s">
        <v>19</v>
      </c>
      <c r="C67" s="6" t="s">
        <v>20</v>
      </c>
      <c r="D67" s="6" t="s">
        <v>21</v>
      </c>
      <c r="E67" s="6" t="s">
        <v>22</v>
      </c>
      <c r="F67" s="6" t="s">
        <v>23</v>
      </c>
      <c r="G67" s="6" t="s">
        <v>24</v>
      </c>
      <c r="H67" s="6" t="s">
        <v>25</v>
      </c>
      <c r="I67" s="6" t="s">
        <v>26</v>
      </c>
      <c r="J67" s="6" t="s">
        <v>27</v>
      </c>
      <c r="K67" s="6" t="s">
        <v>28</v>
      </c>
      <c r="L67" s="6" t="s">
        <v>29</v>
      </c>
      <c r="M67" s="6" t="s">
        <v>29</v>
      </c>
    </row>
    <row r="68" spans="1:13" s="1" customFormat="1" ht="13.5" thickBot="1" x14ac:dyDescent="0.2">
      <c r="A68" s="8" t="s">
        <v>16</v>
      </c>
      <c r="B68" s="9">
        <v>1</v>
      </c>
      <c r="C68" s="10" t="s">
        <v>17</v>
      </c>
      <c r="D68" s="9" t="s">
        <v>30</v>
      </c>
      <c r="E68" s="10" t="s">
        <v>17</v>
      </c>
      <c r="F68" s="9">
        <v>10</v>
      </c>
      <c r="G68" s="10" t="s">
        <v>17</v>
      </c>
      <c r="H68" s="9">
        <v>1</v>
      </c>
      <c r="I68" s="10" t="s">
        <v>17</v>
      </c>
      <c r="J68" s="10"/>
      <c r="K68" s="10" t="s">
        <v>17</v>
      </c>
      <c r="L68" s="10" t="s">
        <v>31</v>
      </c>
      <c r="M68" s="10" t="s">
        <v>32</v>
      </c>
    </row>
    <row r="69" spans="1:13" s="1" customFormat="1" ht="12.75" x14ac:dyDescent="0.15">
      <c r="A69" s="13">
        <v>43374</v>
      </c>
      <c r="B69" s="14">
        <v>13</v>
      </c>
      <c r="C69" s="20">
        <f>SUM(B69*B68)</f>
        <v>13</v>
      </c>
      <c r="D69" s="14">
        <f>5291+954</f>
        <v>6245</v>
      </c>
      <c r="E69" s="20">
        <f>41005.25+10732.5</f>
        <v>51737.75</v>
      </c>
      <c r="F69" s="14">
        <v>0</v>
      </c>
      <c r="G69" s="20">
        <f>F69*F68</f>
        <v>0</v>
      </c>
      <c r="H69" s="14">
        <v>175</v>
      </c>
      <c r="I69" s="20">
        <f>SUM(H69*H68)</f>
        <v>175</v>
      </c>
      <c r="J69" s="14">
        <f>113+169+1629</f>
        <v>1911</v>
      </c>
      <c r="K69" s="20">
        <f>15561.5+507+5701.5+409.78</f>
        <v>22179.78</v>
      </c>
      <c r="L69" s="21">
        <f>B53+D53+F53+H53+J53+L53+B69+D69+F69+H69+J69</f>
        <v>42387</v>
      </c>
      <c r="M69" s="22">
        <f t="shared" ref="L69:M80" si="4">C53+E53+G53+I53+K53+M53+C69+E69+G69+I69+K69</f>
        <v>234836.03</v>
      </c>
    </row>
    <row r="70" spans="1:13" s="1" customFormat="1" ht="12.75" x14ac:dyDescent="0.15">
      <c r="A70" s="13">
        <v>43405</v>
      </c>
      <c r="B70" s="14">
        <v>7</v>
      </c>
      <c r="C70" s="20">
        <f>SUM(B70*B68)</f>
        <v>7</v>
      </c>
      <c r="D70" s="14">
        <f>5307+999</f>
        <v>6306</v>
      </c>
      <c r="E70" s="20">
        <f>41129.25+11238.75</f>
        <v>52368</v>
      </c>
      <c r="F70" s="14">
        <v>3</v>
      </c>
      <c r="G70" s="20">
        <f>F70*F68</f>
        <v>30</v>
      </c>
      <c r="H70" s="14">
        <v>254</v>
      </c>
      <c r="I70" s="20">
        <f>SUM(H70*H68)</f>
        <v>254</v>
      </c>
      <c r="J70" s="14">
        <f>52+153+1766</f>
        <v>1971</v>
      </c>
      <c r="K70" s="20">
        <f>4540.5+459+6181+434.01</f>
        <v>11614.51</v>
      </c>
      <c r="L70" s="21">
        <f t="shared" si="4"/>
        <v>42591</v>
      </c>
      <c r="M70" s="22">
        <f t="shared" si="4"/>
        <v>221144.01</v>
      </c>
    </row>
    <row r="71" spans="1:13" s="1" customFormat="1" ht="12.75" x14ac:dyDescent="0.15">
      <c r="A71" s="13">
        <v>43435</v>
      </c>
      <c r="B71" s="14">
        <v>7</v>
      </c>
      <c r="C71" s="20">
        <f>SUM(B71*B68)</f>
        <v>7</v>
      </c>
      <c r="D71" s="14">
        <f>6493+1198</f>
        <v>7691</v>
      </c>
      <c r="E71" s="20">
        <f>50320.75+13477.5</f>
        <v>63798.25</v>
      </c>
      <c r="F71" s="14">
        <v>2</v>
      </c>
      <c r="G71" s="20">
        <f>F71*F68</f>
        <v>20</v>
      </c>
      <c r="H71" s="14">
        <v>315</v>
      </c>
      <c r="I71" s="20">
        <f>SUM(H71*H68)</f>
        <v>315</v>
      </c>
      <c r="J71" s="14">
        <f>27+251+1977</f>
        <v>2255</v>
      </c>
      <c r="K71" s="20">
        <f>1423+753+6919.5+553.48</f>
        <v>9648.98</v>
      </c>
      <c r="L71" s="21">
        <f t="shared" si="4"/>
        <v>49574</v>
      </c>
      <c r="M71" s="22">
        <f t="shared" si="4"/>
        <v>247676.48</v>
      </c>
    </row>
    <row r="72" spans="1:13" s="1" customFormat="1" ht="12.75" x14ac:dyDescent="0.15">
      <c r="A72" s="13">
        <v>43466</v>
      </c>
      <c r="B72" s="14">
        <v>6</v>
      </c>
      <c r="C72" s="20">
        <f>SUM(B72*B68)</f>
        <v>6</v>
      </c>
      <c r="D72" s="14">
        <f>3377+377</f>
        <v>3754</v>
      </c>
      <c r="E72" s="20">
        <f>26171.75+4241.25</f>
        <v>30413</v>
      </c>
      <c r="F72" s="14"/>
      <c r="G72" s="20">
        <f>F72*F68</f>
        <v>0</v>
      </c>
      <c r="H72" s="14">
        <v>156</v>
      </c>
      <c r="I72" s="20">
        <f>SUM(H72*H68)</f>
        <v>156</v>
      </c>
      <c r="J72" s="14">
        <f>10+145+770</f>
        <v>925</v>
      </c>
      <c r="K72" s="20">
        <f>310.5+435+2695+493.29</f>
        <v>3933.79</v>
      </c>
      <c r="L72" s="21">
        <f t="shared" si="4"/>
        <v>39323</v>
      </c>
      <c r="M72" s="22">
        <f t="shared" si="4"/>
        <v>200127.79</v>
      </c>
    </row>
    <row r="73" spans="1:13" s="1" customFormat="1" ht="12.75" x14ac:dyDescent="0.15">
      <c r="A73" s="13">
        <v>43497</v>
      </c>
      <c r="B73" s="14">
        <v>9</v>
      </c>
      <c r="C73" s="20">
        <f>SUM(B73*B68)</f>
        <v>9</v>
      </c>
      <c r="D73" s="14">
        <f>4559+656</f>
        <v>5215</v>
      </c>
      <c r="E73" s="20">
        <f>35332.25+7380</f>
        <v>42712.25</v>
      </c>
      <c r="F73" s="14">
        <v>0</v>
      </c>
      <c r="G73" s="20">
        <f>F73*F68</f>
        <v>0</v>
      </c>
      <c r="H73" s="14">
        <v>199</v>
      </c>
      <c r="I73" s="20">
        <f>SUM(H73*H68)</f>
        <v>199</v>
      </c>
      <c r="J73" s="14">
        <f>12+173+1180</f>
        <v>1365</v>
      </c>
      <c r="K73" s="20">
        <f>787+519+4130+399.41</f>
        <v>5835.41</v>
      </c>
      <c r="L73" s="21">
        <f t="shared" si="4"/>
        <v>39641</v>
      </c>
      <c r="M73" s="22">
        <f t="shared" si="4"/>
        <v>205784.66</v>
      </c>
    </row>
    <row r="74" spans="1:13" s="1" customFormat="1" ht="12.75" x14ac:dyDescent="0.15">
      <c r="A74" s="13">
        <v>43525</v>
      </c>
      <c r="B74" s="14">
        <v>6</v>
      </c>
      <c r="C74" s="20">
        <f>SUM(B74*B68)</f>
        <v>6</v>
      </c>
      <c r="D74" s="14">
        <f>4547+726</f>
        <v>5273</v>
      </c>
      <c r="E74" s="20">
        <f>35239.25+8167.5</f>
        <v>43406.75</v>
      </c>
      <c r="F74" s="14">
        <v>1</v>
      </c>
      <c r="G74" s="20">
        <f>F74*F68</f>
        <v>10</v>
      </c>
      <c r="H74" s="14">
        <v>258</v>
      </c>
      <c r="I74" s="20">
        <f>SUM(H74*H68)</f>
        <v>258</v>
      </c>
      <c r="J74" s="14">
        <f>23+150+1400</f>
        <v>1573</v>
      </c>
      <c r="K74" s="20">
        <f>1762.5+450+4900+477.31</f>
        <v>7589.81</v>
      </c>
      <c r="L74" s="21">
        <f t="shared" si="4"/>
        <v>44197</v>
      </c>
      <c r="M74" s="22">
        <f t="shared" si="4"/>
        <v>221106.31</v>
      </c>
    </row>
    <row r="75" spans="1:13" s="1" customFormat="1" ht="12.75" x14ac:dyDescent="0.15">
      <c r="A75" s="13">
        <v>43556</v>
      </c>
      <c r="B75" s="14">
        <v>81</v>
      </c>
      <c r="C75" s="20">
        <f>SUM(B75*B68)</f>
        <v>81</v>
      </c>
      <c r="D75" s="14">
        <f>4782+856</f>
        <v>5638</v>
      </c>
      <c r="E75" s="20">
        <f>37060.5+9630</f>
        <v>46690.5</v>
      </c>
      <c r="F75" s="14">
        <v>1</v>
      </c>
      <c r="G75" s="20">
        <f>F75*F68</f>
        <v>10</v>
      </c>
      <c r="H75" s="14">
        <v>642</v>
      </c>
      <c r="I75" s="20">
        <f>SUM(H75*H68)</f>
        <v>642</v>
      </c>
      <c r="J75" s="14">
        <f>32+94+1557</f>
        <v>1683</v>
      </c>
      <c r="K75" s="20">
        <f>2204.5+282+5449.5+374.96</f>
        <v>8310.9599999999991</v>
      </c>
      <c r="L75" s="21">
        <f t="shared" si="4"/>
        <v>35952</v>
      </c>
      <c r="M75" s="22">
        <f t="shared" si="4"/>
        <v>183869.21</v>
      </c>
    </row>
    <row r="76" spans="1:13" s="1" customFormat="1" ht="12.75" x14ac:dyDescent="0.15">
      <c r="A76" s="13">
        <v>43586</v>
      </c>
      <c r="B76" s="14">
        <v>40</v>
      </c>
      <c r="C76" s="20">
        <f>SUM(B76*B68)</f>
        <v>40</v>
      </c>
      <c r="D76" s="14">
        <f>4770+843</f>
        <v>5613</v>
      </c>
      <c r="E76" s="20">
        <f>36967.5+9483.75</f>
        <v>46451.25</v>
      </c>
      <c r="F76" s="14">
        <v>1</v>
      </c>
      <c r="G76" s="20">
        <f>F76*F68</f>
        <v>10</v>
      </c>
      <c r="H76" s="14">
        <v>309</v>
      </c>
      <c r="I76" s="20">
        <f>SUM(H76*H68)</f>
        <v>309</v>
      </c>
      <c r="J76" s="14">
        <f>33+136+1441</f>
        <v>1610</v>
      </c>
      <c r="K76" s="20">
        <f>1968+408+5043.5+425.53</f>
        <v>7845.03</v>
      </c>
      <c r="L76" s="21">
        <f t="shared" si="4"/>
        <v>41860</v>
      </c>
      <c r="M76" s="22">
        <f t="shared" si="4"/>
        <v>210131.53</v>
      </c>
    </row>
    <row r="77" spans="1:13" s="1" customFormat="1" ht="12.75" x14ac:dyDescent="0.15">
      <c r="A77" s="13">
        <v>43617</v>
      </c>
      <c r="B77" s="14">
        <v>29</v>
      </c>
      <c r="C77" s="20">
        <f>SUM(B77*B68)</f>
        <v>29</v>
      </c>
      <c r="D77" s="14">
        <f>4329+718</f>
        <v>5047</v>
      </c>
      <c r="E77" s="20">
        <f>33549.75+8077.5</f>
        <v>41627.25</v>
      </c>
      <c r="F77" s="14">
        <v>1</v>
      </c>
      <c r="G77" s="20">
        <f>F77*F68</f>
        <v>10</v>
      </c>
      <c r="H77" s="14">
        <v>205</v>
      </c>
      <c r="I77" s="20">
        <f>SUM(H77*H68)</f>
        <v>205</v>
      </c>
      <c r="J77" s="14">
        <f>24+156+1330</f>
        <v>1510</v>
      </c>
      <c r="K77" s="20">
        <f>1352+468+4655+356.27</f>
        <v>6831.27</v>
      </c>
      <c r="L77" s="21">
        <f t="shared" si="4"/>
        <v>42274</v>
      </c>
      <c r="M77" s="22">
        <f t="shared" si="4"/>
        <v>214826.27</v>
      </c>
    </row>
    <row r="78" spans="1:13" s="1" customFormat="1" ht="12.75" x14ac:dyDescent="0.15">
      <c r="A78" s="13">
        <v>43647</v>
      </c>
      <c r="B78" s="14">
        <v>13</v>
      </c>
      <c r="C78" s="20">
        <f>SUM(B78*B68)</f>
        <v>13</v>
      </c>
      <c r="D78" s="14">
        <f>5052+955</f>
        <v>6007</v>
      </c>
      <c r="E78" s="20">
        <f>39153+10743.75</f>
        <v>49896.75</v>
      </c>
      <c r="F78" s="14">
        <v>2</v>
      </c>
      <c r="G78" s="20">
        <f>F78*F68</f>
        <v>20</v>
      </c>
      <c r="H78" s="14">
        <v>216</v>
      </c>
      <c r="I78" s="20">
        <f>SUM(H78*H68)</f>
        <v>216</v>
      </c>
      <c r="J78" s="14">
        <f>39+203+1646</f>
        <v>1888</v>
      </c>
      <c r="K78" s="20">
        <f>3548+609+5761+489.04</f>
        <v>10407.040000000001</v>
      </c>
      <c r="L78" s="21">
        <f t="shared" si="4"/>
        <v>45263</v>
      </c>
      <c r="M78" s="22">
        <f t="shared" si="4"/>
        <v>235142.79</v>
      </c>
    </row>
    <row r="79" spans="1:13" s="1" customFormat="1" ht="12.75" x14ac:dyDescent="0.15">
      <c r="A79" s="13">
        <v>43678</v>
      </c>
      <c r="B79" s="14">
        <v>11</v>
      </c>
      <c r="C79" s="20">
        <f>SUM(B79*B68)</f>
        <v>11</v>
      </c>
      <c r="D79" s="14">
        <f>4782+901</f>
        <v>5683</v>
      </c>
      <c r="E79" s="20">
        <f>37060.5+10136.25</f>
        <v>47196.75</v>
      </c>
      <c r="F79" s="14">
        <v>0</v>
      </c>
      <c r="G79" s="20">
        <f>F79*F68</f>
        <v>0</v>
      </c>
      <c r="H79" s="14">
        <v>222</v>
      </c>
      <c r="I79" s="20">
        <f>SUM(H79*H68)</f>
        <v>222</v>
      </c>
      <c r="J79" s="14">
        <f>73+137+1628</f>
        <v>1838</v>
      </c>
      <c r="K79" s="20">
        <f>8235.75+411+5698+435.23</f>
        <v>14779.98</v>
      </c>
      <c r="L79" s="21">
        <f t="shared" si="4"/>
        <v>44281</v>
      </c>
      <c r="M79" s="22">
        <f t="shared" si="4"/>
        <v>233287.48</v>
      </c>
    </row>
    <row r="80" spans="1:13" s="1" customFormat="1" ht="12.75" x14ac:dyDescent="0.15">
      <c r="A80" s="13">
        <v>43709</v>
      </c>
      <c r="B80" s="14">
        <v>8</v>
      </c>
      <c r="C80" s="20">
        <f>B80*B68</f>
        <v>8</v>
      </c>
      <c r="D80" s="14">
        <f>4603+921</f>
        <v>5524</v>
      </c>
      <c r="E80" s="20">
        <f>35673.25+10361.25</f>
        <v>46034.5</v>
      </c>
      <c r="F80" s="14"/>
      <c r="G80" s="20">
        <f>F80*F68</f>
        <v>0</v>
      </c>
      <c r="H80" s="14">
        <v>209</v>
      </c>
      <c r="I80" s="20">
        <f>SUM(H80*H68)</f>
        <v>209</v>
      </c>
      <c r="J80" s="14">
        <f>71+146+1512</f>
        <v>1729</v>
      </c>
      <c r="K80" s="20">
        <f>9793+438+5292+444.48</f>
        <v>15967.48</v>
      </c>
      <c r="L80" s="21">
        <f t="shared" si="4"/>
        <v>39777</v>
      </c>
      <c r="M80" s="22">
        <f t="shared" si="4"/>
        <v>211528.48</v>
      </c>
    </row>
    <row r="81" spans="1:13" s="1" customFormat="1" ht="13.5" thickBot="1" x14ac:dyDescent="0.2">
      <c r="A81" s="16" t="s">
        <v>18</v>
      </c>
      <c r="B81" s="17">
        <f t="shared" ref="B81:M81" si="5">SUM(B69:B80)</f>
        <v>230</v>
      </c>
      <c r="C81" s="23">
        <f t="shared" si="5"/>
        <v>230</v>
      </c>
      <c r="D81" s="17">
        <f t="shared" si="5"/>
        <v>67996</v>
      </c>
      <c r="E81" s="23">
        <f t="shared" si="5"/>
        <v>562333</v>
      </c>
      <c r="F81" s="19">
        <f t="shared" si="5"/>
        <v>11</v>
      </c>
      <c r="G81" s="23">
        <f t="shared" si="5"/>
        <v>110</v>
      </c>
      <c r="H81" s="17">
        <f t="shared" si="5"/>
        <v>3160</v>
      </c>
      <c r="I81" s="23">
        <f t="shared" si="5"/>
        <v>3160</v>
      </c>
      <c r="J81" s="17">
        <f t="shared" si="5"/>
        <v>20258</v>
      </c>
      <c r="K81" s="23">
        <f t="shared" si="5"/>
        <v>124944.03999999998</v>
      </c>
      <c r="L81" s="24">
        <f t="shared" si="5"/>
        <v>507120</v>
      </c>
      <c r="M81" s="25">
        <f t="shared" si="5"/>
        <v>2619461.04</v>
      </c>
    </row>
    <row r="82" spans="1:13" s="1" customFormat="1" x14ac:dyDescent="0.15"/>
    <row r="83" spans="1:13" s="1" customFormat="1" ht="15" customHeight="1" x14ac:dyDescent="0.1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s="1" customFormat="1" x14ac:dyDescent="0.15">
      <c r="A84" s="26"/>
    </row>
    <row r="85" spans="1:13" s="1" customFormat="1" ht="15.75" x14ac:dyDescent="0.15">
      <c r="A85" s="3" t="s">
        <v>33</v>
      </c>
    </row>
    <row r="86" spans="1:13" s="1" customFormat="1" ht="17.25" customHeight="1" x14ac:dyDescent="0.15">
      <c r="A86" s="28" t="s">
        <v>35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s="1" customFormat="1" ht="17.25" customHeight="1" x14ac:dyDescent="0.15">
      <c r="A87" s="29" t="s">
        <v>1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 s="1" customFormat="1" ht="17.2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s="1" customFormat="1" ht="17.25" customHeight="1" x14ac:dyDescent="0.15"/>
    <row r="90" spans="1:13" s="1" customFormat="1" ht="17.25" customHeight="1" x14ac:dyDescent="0.15"/>
    <row r="91" spans="1:13" s="1" customFormat="1" ht="13.5" customHeight="1" x14ac:dyDescent="0.15">
      <c r="A91" s="3" t="s">
        <v>2</v>
      </c>
      <c r="B91" s="4"/>
      <c r="C91" s="4"/>
      <c r="D91" s="4"/>
      <c r="E91" s="3"/>
      <c r="F91" s="4"/>
      <c r="G91" s="4"/>
      <c r="H91" s="4"/>
      <c r="I91" s="4"/>
      <c r="L91" s="4"/>
      <c r="M91" s="4"/>
    </row>
    <row r="92" spans="1:13" s="1" customFormat="1" ht="13.5" thickBo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1" customFormat="1" ht="12.75" x14ac:dyDescent="0.15">
      <c r="A93" s="5" t="s">
        <v>3</v>
      </c>
      <c r="B93" s="6" t="s">
        <v>4</v>
      </c>
      <c r="C93" s="6" t="s">
        <v>5</v>
      </c>
      <c r="D93" s="6" t="s">
        <v>6</v>
      </c>
      <c r="E93" s="6" t="s">
        <v>7</v>
      </c>
      <c r="F93" s="6" t="s">
        <v>8</v>
      </c>
      <c r="G93" s="7" t="s">
        <v>9</v>
      </c>
      <c r="H93" s="6" t="s">
        <v>10</v>
      </c>
      <c r="I93" s="7" t="s">
        <v>11</v>
      </c>
      <c r="J93" s="6" t="s">
        <v>12</v>
      </c>
      <c r="K93" s="7" t="s">
        <v>13</v>
      </c>
      <c r="L93" s="5" t="s">
        <v>14</v>
      </c>
      <c r="M93" s="6" t="s">
        <v>15</v>
      </c>
    </row>
    <row r="94" spans="1:13" s="1" customFormat="1" ht="13.5" thickBot="1" x14ac:dyDescent="0.2">
      <c r="A94" s="8" t="s">
        <v>16</v>
      </c>
      <c r="B94" s="9">
        <v>3.75</v>
      </c>
      <c r="C94" s="10" t="s">
        <v>17</v>
      </c>
      <c r="D94" s="9">
        <v>11</v>
      </c>
      <c r="E94" s="10" t="s">
        <v>17</v>
      </c>
      <c r="F94" s="9">
        <v>15</v>
      </c>
      <c r="G94" s="11" t="s">
        <v>17</v>
      </c>
      <c r="H94" s="9">
        <v>17.25</v>
      </c>
      <c r="I94" s="11" t="s">
        <v>17</v>
      </c>
      <c r="J94" s="9">
        <v>22</v>
      </c>
      <c r="K94" s="11" t="s">
        <v>17</v>
      </c>
      <c r="L94" s="12">
        <v>25</v>
      </c>
      <c r="M94" s="10" t="s">
        <v>17</v>
      </c>
    </row>
    <row r="95" spans="1:13" s="1" customFormat="1" ht="12.75" x14ac:dyDescent="0.15">
      <c r="A95" s="13">
        <v>43374</v>
      </c>
      <c r="B95" s="14">
        <v>124116</v>
      </c>
      <c r="C95" s="15">
        <f>SUM(B95*B94)</f>
        <v>465435</v>
      </c>
      <c r="D95" s="14">
        <v>2410</v>
      </c>
      <c r="E95" s="15">
        <f>SUM(D95*D94)</f>
        <v>26510</v>
      </c>
      <c r="F95" s="14">
        <v>1799</v>
      </c>
      <c r="G95" s="15">
        <f>SUM(F95*F94)</f>
        <v>26985</v>
      </c>
      <c r="H95" s="14">
        <v>70</v>
      </c>
      <c r="I95" s="15">
        <f>SUM(H95*H94)</f>
        <v>1207.5</v>
      </c>
      <c r="J95" s="14">
        <v>17250</v>
      </c>
      <c r="K95" s="15">
        <f>SUM(J95*J94)</f>
        <v>379500</v>
      </c>
      <c r="L95" s="14">
        <v>1409</v>
      </c>
      <c r="M95" s="15">
        <f>SUM(L95*L94)</f>
        <v>35225</v>
      </c>
    </row>
    <row r="96" spans="1:13" s="1" customFormat="1" ht="12.75" x14ac:dyDescent="0.15">
      <c r="A96" s="13">
        <v>43405</v>
      </c>
      <c r="B96" s="14">
        <v>120752</v>
      </c>
      <c r="C96" s="15">
        <f>SUM(B96*B94)</f>
        <v>452820</v>
      </c>
      <c r="D96" s="14">
        <v>2177</v>
      </c>
      <c r="E96" s="15">
        <f>SUM(D96*D94)</f>
        <v>23947</v>
      </c>
      <c r="F96" s="14">
        <v>1931</v>
      </c>
      <c r="G96" s="15">
        <f>SUM(F96*F94)</f>
        <v>28965</v>
      </c>
      <c r="H96" s="14">
        <v>51</v>
      </c>
      <c r="I96" s="15">
        <f>SUM(H96*H94)</f>
        <v>879.75</v>
      </c>
      <c r="J96" s="14">
        <v>15727</v>
      </c>
      <c r="K96" s="15">
        <f>SUM(J96*J94)</f>
        <v>345994</v>
      </c>
      <c r="L96" s="14">
        <v>1074</v>
      </c>
      <c r="M96" s="15">
        <f>SUM(L96*L94)</f>
        <v>26850</v>
      </c>
    </row>
    <row r="97" spans="1:13" s="1" customFormat="1" ht="12.75" x14ac:dyDescent="0.15">
      <c r="A97" s="13">
        <v>43435</v>
      </c>
      <c r="B97" s="14">
        <v>132967</v>
      </c>
      <c r="C97" s="15">
        <f>SUM(B97*B94)</f>
        <v>498626.25</v>
      </c>
      <c r="D97" s="14">
        <v>1798</v>
      </c>
      <c r="E97" s="15">
        <f>SUM(D97*D94)</f>
        <v>19778</v>
      </c>
      <c r="F97" s="14">
        <v>1711</v>
      </c>
      <c r="G97" s="15">
        <f>SUM(F97*F94)</f>
        <v>25665</v>
      </c>
      <c r="H97" s="14">
        <v>39</v>
      </c>
      <c r="I97" s="15">
        <f>SUM(H97*H94)</f>
        <v>672.75</v>
      </c>
      <c r="J97" s="14">
        <v>12828</v>
      </c>
      <c r="K97" s="15">
        <f>SUM(J97*J94)</f>
        <v>282216</v>
      </c>
      <c r="L97" s="14">
        <v>1009</v>
      </c>
      <c r="M97" s="15">
        <f>SUM(L97*L94)</f>
        <v>25225</v>
      </c>
    </row>
    <row r="98" spans="1:13" s="1" customFormat="1" ht="12.75" x14ac:dyDescent="0.15">
      <c r="A98" s="13">
        <v>43466</v>
      </c>
      <c r="B98" s="14">
        <v>124137</v>
      </c>
      <c r="C98" s="15">
        <f>SUM(B98*B94)</f>
        <v>465513.75</v>
      </c>
      <c r="D98" s="14">
        <v>2020</v>
      </c>
      <c r="E98" s="15">
        <f>SUM(D98*D94)</f>
        <v>22220</v>
      </c>
      <c r="F98" s="14">
        <v>1960</v>
      </c>
      <c r="G98" s="15">
        <f>SUM(F98*F94)</f>
        <v>29400</v>
      </c>
      <c r="H98" s="14">
        <v>61</v>
      </c>
      <c r="I98" s="15">
        <f>SUM(H98*H94)</f>
        <v>1052.25</v>
      </c>
      <c r="J98" s="14">
        <v>15551</v>
      </c>
      <c r="K98" s="15">
        <f>SUM(J98*J94)</f>
        <v>342122</v>
      </c>
      <c r="L98" s="14">
        <v>978</v>
      </c>
      <c r="M98" s="15">
        <f>SUM(L98*L94)</f>
        <v>24450</v>
      </c>
    </row>
    <row r="99" spans="1:13" s="1" customFormat="1" ht="12.75" x14ac:dyDescent="0.15">
      <c r="A99" s="13">
        <v>43497</v>
      </c>
      <c r="B99" s="14">
        <v>114403</v>
      </c>
      <c r="C99" s="15">
        <f>SUM(B99*B94)</f>
        <v>429011.25</v>
      </c>
      <c r="D99" s="14">
        <v>1944</v>
      </c>
      <c r="E99" s="15">
        <f>SUM(D99*D94)</f>
        <v>21384</v>
      </c>
      <c r="F99" s="14">
        <v>1747</v>
      </c>
      <c r="G99" s="15">
        <f>SUM(F99*F94)</f>
        <v>26205</v>
      </c>
      <c r="H99" s="14">
        <v>60</v>
      </c>
      <c r="I99" s="15">
        <f>SUM(H99*H94)</f>
        <v>1035</v>
      </c>
      <c r="J99" s="14">
        <v>15096</v>
      </c>
      <c r="K99" s="15">
        <f>SUM(J99*J94)</f>
        <v>332112</v>
      </c>
      <c r="L99" s="14">
        <v>878</v>
      </c>
      <c r="M99" s="15">
        <f>SUM(L99*L94)</f>
        <v>21950</v>
      </c>
    </row>
    <row r="100" spans="1:13" s="1" customFormat="1" ht="12.75" x14ac:dyDescent="0.15">
      <c r="A100" s="13">
        <v>43525</v>
      </c>
      <c r="B100" s="14">
        <v>127642</v>
      </c>
      <c r="C100" s="15">
        <f>SUM(B100*B94)</f>
        <v>478657.5</v>
      </c>
      <c r="D100" s="14">
        <v>2133</v>
      </c>
      <c r="E100" s="15">
        <f>SUM(D100*D94)</f>
        <v>23463</v>
      </c>
      <c r="F100" s="14">
        <v>1882</v>
      </c>
      <c r="G100" s="15">
        <f>SUM(F100*F94)</f>
        <v>28230</v>
      </c>
      <c r="H100" s="14">
        <v>69</v>
      </c>
      <c r="I100" s="15">
        <f>SUM(H100*H94)</f>
        <v>1190.25</v>
      </c>
      <c r="J100" s="14">
        <v>16795</v>
      </c>
      <c r="K100" s="15">
        <f>SUM(J100*J94)</f>
        <v>369490</v>
      </c>
      <c r="L100" s="14">
        <v>1005</v>
      </c>
      <c r="M100" s="15">
        <f>SUM(L100*L94)</f>
        <v>25125</v>
      </c>
    </row>
    <row r="101" spans="1:13" s="1" customFormat="1" ht="12.75" x14ac:dyDescent="0.15">
      <c r="A101" s="13">
        <v>43556</v>
      </c>
      <c r="B101" s="14">
        <v>99495</v>
      </c>
      <c r="C101" s="15">
        <f>SUM(B101*B94)</f>
        <v>373106.25</v>
      </c>
      <c r="D101" s="14">
        <v>1947</v>
      </c>
      <c r="E101" s="15">
        <f>SUM(D101*D94)</f>
        <v>21417</v>
      </c>
      <c r="F101" s="14">
        <v>1549</v>
      </c>
      <c r="G101" s="15">
        <f>SUM(F101*F94)</f>
        <v>23235</v>
      </c>
      <c r="H101" s="14">
        <v>50</v>
      </c>
      <c r="I101" s="15">
        <f>SUM(H101*H94)</f>
        <v>862.5</v>
      </c>
      <c r="J101" s="14">
        <v>16207</v>
      </c>
      <c r="K101" s="15">
        <f>SUM(J101*J94)</f>
        <v>356554</v>
      </c>
      <c r="L101" s="14">
        <v>1005</v>
      </c>
      <c r="M101" s="15">
        <f>SUM(L101*L94)</f>
        <v>25125</v>
      </c>
    </row>
    <row r="102" spans="1:13" s="1" customFormat="1" ht="12.75" x14ac:dyDescent="0.15">
      <c r="A102" s="13">
        <v>43586</v>
      </c>
      <c r="B102" s="14">
        <v>118118</v>
      </c>
      <c r="C102" s="15">
        <f>SUM(B102*B94)</f>
        <v>442942.5</v>
      </c>
      <c r="D102" s="14">
        <v>2161</v>
      </c>
      <c r="E102" s="15">
        <f>SUM(D102*D94)</f>
        <v>23771</v>
      </c>
      <c r="F102" s="14">
        <v>1743</v>
      </c>
      <c r="G102" s="15">
        <f>SUM(F102*F94)</f>
        <v>26145</v>
      </c>
      <c r="H102" s="14">
        <v>42</v>
      </c>
      <c r="I102" s="15">
        <f>SUM(H102*H94)</f>
        <v>724.5</v>
      </c>
      <c r="J102" s="14">
        <v>17474</v>
      </c>
      <c r="K102" s="15">
        <f>SUM(J102*J94)</f>
        <v>384428</v>
      </c>
      <c r="L102" s="14">
        <v>1115</v>
      </c>
      <c r="M102" s="15">
        <f>SUM(L102*L94)</f>
        <v>27875</v>
      </c>
    </row>
    <row r="103" spans="1:13" s="1" customFormat="1" ht="12.75" x14ac:dyDescent="0.15">
      <c r="A103" s="13">
        <v>43617</v>
      </c>
      <c r="B103" s="14">
        <v>117616</v>
      </c>
      <c r="C103" s="15">
        <f>SUM(B103*B94)</f>
        <v>441060</v>
      </c>
      <c r="D103" s="14">
        <v>1983</v>
      </c>
      <c r="E103" s="15">
        <f>SUM(D103*D94)</f>
        <v>21813</v>
      </c>
      <c r="F103" s="14">
        <v>1741</v>
      </c>
      <c r="G103" s="15">
        <f>SUM(F103*F94)</f>
        <v>26115</v>
      </c>
      <c r="H103" s="14">
        <v>32</v>
      </c>
      <c r="I103" s="15">
        <f>SUM(H103*H94)</f>
        <v>552</v>
      </c>
      <c r="J103" s="14">
        <v>15976</v>
      </c>
      <c r="K103" s="15">
        <f>SUM(J103*J94)</f>
        <v>351472</v>
      </c>
      <c r="L103" s="14">
        <v>935</v>
      </c>
      <c r="M103" s="15">
        <f>SUM(L103*L94)</f>
        <v>23375</v>
      </c>
    </row>
    <row r="104" spans="1:13" s="1" customFormat="1" ht="12.75" x14ac:dyDescent="0.15">
      <c r="A104" s="13">
        <v>43647</v>
      </c>
      <c r="B104" s="14">
        <v>119623</v>
      </c>
      <c r="C104" s="15">
        <f>SUM(B104*B94)</f>
        <v>448586.25</v>
      </c>
      <c r="D104" s="14">
        <v>2121</v>
      </c>
      <c r="E104" s="15">
        <f>SUM(D104*D94)</f>
        <v>23331</v>
      </c>
      <c r="F104" s="14">
        <v>1907</v>
      </c>
      <c r="G104" s="15">
        <f>SUM(F104*F94)</f>
        <v>28605</v>
      </c>
      <c r="H104" s="14">
        <v>33</v>
      </c>
      <c r="I104" s="15">
        <f>SUM(H104*H94)</f>
        <v>569.25</v>
      </c>
      <c r="J104" s="14">
        <v>17580</v>
      </c>
      <c r="K104" s="15">
        <f>SUM(J104*J94)</f>
        <v>386760</v>
      </c>
      <c r="L104" s="14">
        <v>1069</v>
      </c>
      <c r="M104" s="15">
        <f>SUM(L104*L94)</f>
        <v>26725</v>
      </c>
    </row>
    <row r="105" spans="1:13" s="1" customFormat="1" ht="12.75" x14ac:dyDescent="0.15">
      <c r="A105" s="13">
        <v>43678</v>
      </c>
      <c r="B105" s="14">
        <v>126023</v>
      </c>
      <c r="C105" s="15">
        <f>SUM(B105*B94)</f>
        <v>472586.25</v>
      </c>
      <c r="D105" s="14">
        <v>2181</v>
      </c>
      <c r="E105" s="15">
        <f>SUM(D105*D94)</f>
        <v>23991</v>
      </c>
      <c r="F105" s="14">
        <v>1931</v>
      </c>
      <c r="G105" s="15">
        <f>SUM(F105*F94)</f>
        <v>28965</v>
      </c>
      <c r="H105" s="14">
        <v>23</v>
      </c>
      <c r="I105" s="15">
        <f>SUM(H105*H94)</f>
        <v>396.75</v>
      </c>
      <c r="J105" s="14">
        <v>17449</v>
      </c>
      <c r="K105" s="15">
        <f>SUM(J105*J94)</f>
        <v>383878</v>
      </c>
      <c r="L105" s="14">
        <v>985</v>
      </c>
      <c r="M105" s="15">
        <f>SUM(L105*L94)</f>
        <v>24625</v>
      </c>
    </row>
    <row r="106" spans="1:13" s="1" customFormat="1" ht="12.75" x14ac:dyDescent="0.15">
      <c r="A106" s="13">
        <v>43709</v>
      </c>
      <c r="B106" s="14">
        <v>119232</v>
      </c>
      <c r="C106" s="15">
        <f>B106*B94</f>
        <v>447120</v>
      </c>
      <c r="D106" s="14">
        <v>2007</v>
      </c>
      <c r="E106" s="15">
        <f>SUM(D106*D94)</f>
        <v>22077</v>
      </c>
      <c r="F106" s="14">
        <v>1788</v>
      </c>
      <c r="G106" s="15">
        <f>SUM(F106*F94)</f>
        <v>26820</v>
      </c>
      <c r="H106" s="14">
        <v>32</v>
      </c>
      <c r="I106" s="15">
        <f>H106*H94</f>
        <v>552</v>
      </c>
      <c r="J106" s="14">
        <v>15610</v>
      </c>
      <c r="K106" s="15">
        <f>SUM(J106*J94)</f>
        <v>343420</v>
      </c>
      <c r="L106" s="14">
        <v>1140</v>
      </c>
      <c r="M106" s="15">
        <f>SUM(L106*L94)</f>
        <v>28500</v>
      </c>
    </row>
    <row r="107" spans="1:13" s="1" customFormat="1" ht="13.5" thickBot="1" x14ac:dyDescent="0.2">
      <c r="A107" s="16" t="s">
        <v>18</v>
      </c>
      <c r="B107" s="17">
        <f t="shared" ref="B107:M107" si="6">SUM(B95:B106)</f>
        <v>1444124</v>
      </c>
      <c r="C107" s="18">
        <f t="shared" si="6"/>
        <v>5415465</v>
      </c>
      <c r="D107" s="17">
        <f t="shared" si="6"/>
        <v>24882</v>
      </c>
      <c r="E107" s="18">
        <f t="shared" si="6"/>
        <v>273702</v>
      </c>
      <c r="F107" s="17">
        <f t="shared" si="6"/>
        <v>21689</v>
      </c>
      <c r="G107" s="18">
        <f t="shared" si="6"/>
        <v>325335</v>
      </c>
      <c r="H107" s="17">
        <f t="shared" si="6"/>
        <v>562</v>
      </c>
      <c r="I107" s="18">
        <f t="shared" si="6"/>
        <v>9694.5</v>
      </c>
      <c r="J107" s="17">
        <f t="shared" si="6"/>
        <v>193543</v>
      </c>
      <c r="K107" s="18">
        <f t="shared" si="6"/>
        <v>4257946</v>
      </c>
      <c r="L107" s="17">
        <f t="shared" si="6"/>
        <v>12602</v>
      </c>
      <c r="M107" s="18">
        <f t="shared" si="6"/>
        <v>315050</v>
      </c>
    </row>
    <row r="108" spans="1:13" s="1" customFormat="1" ht="12.75" thickBot="1" x14ac:dyDescent="0.2"/>
    <row r="109" spans="1:13" s="1" customFormat="1" ht="12.75" x14ac:dyDescent="0.15">
      <c r="A109" s="5" t="s">
        <v>3</v>
      </c>
      <c r="B109" s="6" t="s">
        <v>19</v>
      </c>
      <c r="C109" s="6" t="s">
        <v>20</v>
      </c>
      <c r="D109" s="6" t="s">
        <v>21</v>
      </c>
      <c r="E109" s="6" t="s">
        <v>22</v>
      </c>
      <c r="F109" s="6" t="s">
        <v>23</v>
      </c>
      <c r="G109" s="6" t="s">
        <v>24</v>
      </c>
      <c r="H109" s="6" t="s">
        <v>25</v>
      </c>
      <c r="I109" s="6" t="s">
        <v>26</v>
      </c>
      <c r="J109" s="6" t="s">
        <v>27</v>
      </c>
      <c r="K109" s="6" t="s">
        <v>28</v>
      </c>
      <c r="L109" s="6" t="s">
        <v>29</v>
      </c>
      <c r="M109" s="6" t="s">
        <v>29</v>
      </c>
    </row>
    <row r="110" spans="1:13" s="1" customFormat="1" ht="13.5" thickBot="1" x14ac:dyDescent="0.2">
      <c r="A110" s="8" t="s">
        <v>16</v>
      </c>
      <c r="B110" s="9">
        <v>1</v>
      </c>
      <c r="C110" s="10" t="s">
        <v>17</v>
      </c>
      <c r="D110" s="9" t="s">
        <v>30</v>
      </c>
      <c r="E110" s="10" t="s">
        <v>17</v>
      </c>
      <c r="F110" s="9">
        <v>10</v>
      </c>
      <c r="G110" s="10" t="s">
        <v>17</v>
      </c>
      <c r="H110" s="9">
        <v>1</v>
      </c>
      <c r="I110" s="10" t="s">
        <v>17</v>
      </c>
      <c r="J110" s="10"/>
      <c r="K110" s="10" t="s">
        <v>17</v>
      </c>
      <c r="L110" s="10" t="s">
        <v>31</v>
      </c>
      <c r="M110" s="10" t="s">
        <v>32</v>
      </c>
    </row>
    <row r="111" spans="1:13" s="1" customFormat="1" ht="12.75" x14ac:dyDescent="0.15">
      <c r="A111" s="13">
        <v>43374</v>
      </c>
      <c r="B111" s="14">
        <v>920</v>
      </c>
      <c r="C111" s="20">
        <f>SUM(B111*B110)</f>
        <v>920</v>
      </c>
      <c r="D111" s="14">
        <v>0</v>
      </c>
      <c r="E111" s="20">
        <v>0</v>
      </c>
      <c r="F111" s="14">
        <v>8</v>
      </c>
      <c r="G111" s="20">
        <f>F111*F110</f>
        <v>80</v>
      </c>
      <c r="H111" s="14">
        <v>146</v>
      </c>
      <c r="I111" s="20">
        <f>SUM(H111*H110)</f>
        <v>146</v>
      </c>
      <c r="J111" s="14">
        <f>154+332+1</f>
        <v>487</v>
      </c>
      <c r="K111" s="20">
        <f>33.5+462+1162+3050.64+14.55</f>
        <v>4722.6899999999996</v>
      </c>
      <c r="L111" s="21">
        <f t="shared" ref="L111:M122" si="7">B95+D95+F95+H95+J95+L95+B111+D111+F111+H111+J111</f>
        <v>148615</v>
      </c>
      <c r="M111" s="22">
        <f t="shared" si="7"/>
        <v>940731.19</v>
      </c>
    </row>
    <row r="112" spans="1:13" s="1" customFormat="1" ht="12.75" x14ac:dyDescent="0.15">
      <c r="A112" s="13">
        <v>43405</v>
      </c>
      <c r="B112" s="14">
        <v>799</v>
      </c>
      <c r="C112" s="20">
        <f>SUM(B112*B110)</f>
        <v>799</v>
      </c>
      <c r="D112" s="14">
        <v>0</v>
      </c>
      <c r="E112" s="20">
        <v>0</v>
      </c>
      <c r="F112" s="14">
        <v>16</v>
      </c>
      <c r="G112" s="20">
        <f>F112*F110</f>
        <v>160</v>
      </c>
      <c r="H112" s="14">
        <v>101</v>
      </c>
      <c r="I112" s="20">
        <f>SUM(H112*H110)</f>
        <v>101</v>
      </c>
      <c r="J112" s="14">
        <f>2+189+305</f>
        <v>496</v>
      </c>
      <c r="K112" s="20">
        <f>238+567+1067.5+2892.56+25</f>
        <v>4790.0599999999995</v>
      </c>
      <c r="L112" s="21">
        <f t="shared" si="7"/>
        <v>143124</v>
      </c>
      <c r="M112" s="22">
        <f t="shared" si="7"/>
        <v>885305.81</v>
      </c>
    </row>
    <row r="113" spans="1:13" s="1" customFormat="1" ht="12.75" x14ac:dyDescent="0.15">
      <c r="A113" s="13">
        <v>43435</v>
      </c>
      <c r="B113" s="14">
        <v>852</v>
      </c>
      <c r="C113" s="20">
        <f>SUM(B113*B110)</f>
        <v>852</v>
      </c>
      <c r="D113" s="14">
        <v>0</v>
      </c>
      <c r="E113" s="20">
        <v>0</v>
      </c>
      <c r="F113" s="14">
        <v>3</v>
      </c>
      <c r="G113" s="20">
        <f>F113*F110</f>
        <v>30</v>
      </c>
      <c r="H113" s="14">
        <v>170</v>
      </c>
      <c r="I113" s="20">
        <f>SUM(H113*H110)</f>
        <v>170</v>
      </c>
      <c r="J113" s="14">
        <f>4+365+172</f>
        <v>541</v>
      </c>
      <c r="K113" s="20">
        <f>356+1095+602+3223.04</f>
        <v>5276.04</v>
      </c>
      <c r="L113" s="21">
        <f t="shared" si="7"/>
        <v>151918</v>
      </c>
      <c r="M113" s="22">
        <f t="shared" si="7"/>
        <v>858511.04</v>
      </c>
    </row>
    <row r="114" spans="1:13" s="1" customFormat="1" ht="12.75" x14ac:dyDescent="0.15">
      <c r="A114" s="13">
        <v>43466</v>
      </c>
      <c r="B114" s="14">
        <v>829</v>
      </c>
      <c r="C114" s="20">
        <f>SUM(B114*B110)</f>
        <v>829</v>
      </c>
      <c r="D114" s="14">
        <v>0</v>
      </c>
      <c r="E114" s="20">
        <v>0</v>
      </c>
      <c r="F114" s="14">
        <v>5</v>
      </c>
      <c r="G114" s="20">
        <f>F114*F110</f>
        <v>50</v>
      </c>
      <c r="H114" s="14">
        <v>145</v>
      </c>
      <c r="I114" s="20">
        <f>SUM(H114*H110)</f>
        <v>145</v>
      </c>
      <c r="J114" s="14">
        <f>1+182+266</f>
        <v>449</v>
      </c>
      <c r="K114" s="20">
        <f>32.5+546+931+2863.76+52</f>
        <v>4425.26</v>
      </c>
      <c r="L114" s="21">
        <f t="shared" si="7"/>
        <v>146135</v>
      </c>
      <c r="M114" s="22">
        <f t="shared" si="7"/>
        <v>890207.26</v>
      </c>
    </row>
    <row r="115" spans="1:13" s="1" customFormat="1" ht="12.75" x14ac:dyDescent="0.15">
      <c r="A115" s="13">
        <v>43497</v>
      </c>
      <c r="B115" s="14">
        <v>928</v>
      </c>
      <c r="C115" s="20">
        <f>SUM(B115*B110)</f>
        <v>928</v>
      </c>
      <c r="D115" s="14">
        <v>0</v>
      </c>
      <c r="E115" s="20">
        <v>0</v>
      </c>
      <c r="F115" s="14">
        <v>6</v>
      </c>
      <c r="G115" s="20">
        <f>F115*F110</f>
        <v>60</v>
      </c>
      <c r="H115" s="14">
        <v>158</v>
      </c>
      <c r="I115" s="20">
        <f>SUM(H115*H110)</f>
        <v>158</v>
      </c>
      <c r="J115" s="14">
        <f>1+177+225</f>
        <v>403</v>
      </c>
      <c r="K115" s="20">
        <f>96+531+787.5+3.75+2449.4</f>
        <v>3867.65</v>
      </c>
      <c r="L115" s="21">
        <f t="shared" si="7"/>
        <v>135623</v>
      </c>
      <c r="M115" s="22">
        <f t="shared" si="7"/>
        <v>836710.9</v>
      </c>
    </row>
    <row r="116" spans="1:13" s="1" customFormat="1" ht="12.75" x14ac:dyDescent="0.15">
      <c r="A116" s="13">
        <v>43525</v>
      </c>
      <c r="B116" s="14">
        <v>799</v>
      </c>
      <c r="C116" s="20">
        <f>SUM(B116*B110)</f>
        <v>799</v>
      </c>
      <c r="D116" s="14">
        <v>0</v>
      </c>
      <c r="E116" s="20">
        <v>0</v>
      </c>
      <c r="F116" s="14">
        <v>4</v>
      </c>
      <c r="G116" s="20">
        <f>F116*F110</f>
        <v>40</v>
      </c>
      <c r="H116" s="14">
        <v>174</v>
      </c>
      <c r="I116" s="20">
        <f>SUM(H116*H110)</f>
        <v>174</v>
      </c>
      <c r="J116" s="14">
        <f>2+218+227</f>
        <v>447</v>
      </c>
      <c r="K116" s="20">
        <f>279+654+794.5+2710.16</f>
        <v>4437.66</v>
      </c>
      <c r="L116" s="21">
        <f t="shared" si="7"/>
        <v>150950</v>
      </c>
      <c r="M116" s="22">
        <f t="shared" si="7"/>
        <v>931606.41</v>
      </c>
    </row>
    <row r="117" spans="1:13" s="1" customFormat="1" ht="12.75" x14ac:dyDescent="0.15">
      <c r="A117" s="13">
        <v>43556</v>
      </c>
      <c r="B117" s="14">
        <v>1182</v>
      </c>
      <c r="C117" s="20">
        <f>SUM(B117*B110)</f>
        <v>1182</v>
      </c>
      <c r="D117" s="14">
        <v>0</v>
      </c>
      <c r="E117" s="20">
        <v>0</v>
      </c>
      <c r="F117" s="14">
        <v>4</v>
      </c>
      <c r="G117" s="20">
        <f>F117*F110</f>
        <v>40</v>
      </c>
      <c r="H117" s="14">
        <v>222</v>
      </c>
      <c r="I117" s="20">
        <f>SUM(H117*H110)</f>
        <v>222</v>
      </c>
      <c r="J117" s="14">
        <f>1+234+241</f>
        <v>476</v>
      </c>
      <c r="K117" s="20">
        <f>116+702+843.5+2159.06+29</f>
        <v>3849.56</v>
      </c>
      <c r="L117" s="21">
        <f t="shared" si="7"/>
        <v>122137</v>
      </c>
      <c r="M117" s="22">
        <f t="shared" si="7"/>
        <v>805593.31</v>
      </c>
    </row>
    <row r="118" spans="1:13" s="1" customFormat="1" ht="12.75" x14ac:dyDescent="0.15">
      <c r="A118" s="13">
        <v>43586</v>
      </c>
      <c r="B118" s="14">
        <v>1196</v>
      </c>
      <c r="C118" s="20">
        <f>SUM(B118*B110)</f>
        <v>1196</v>
      </c>
      <c r="D118" s="14">
        <v>0</v>
      </c>
      <c r="E118" s="20">
        <v>0</v>
      </c>
      <c r="F118" s="14">
        <v>3</v>
      </c>
      <c r="G118" s="20">
        <f>F118*F110</f>
        <v>30</v>
      </c>
      <c r="H118" s="14">
        <v>191</v>
      </c>
      <c r="I118" s="20">
        <f>SUM(H118*H110)</f>
        <v>191</v>
      </c>
      <c r="J118" s="14">
        <f>8+197+256</f>
        <v>461</v>
      </c>
      <c r="K118" s="20">
        <f>253+591+896+2410.64+106.23</f>
        <v>4256.869999999999</v>
      </c>
      <c r="L118" s="21">
        <f t="shared" si="7"/>
        <v>142504</v>
      </c>
      <c r="M118" s="22">
        <f t="shared" si="7"/>
        <v>911559.87</v>
      </c>
    </row>
    <row r="119" spans="1:13" s="1" customFormat="1" ht="12.75" x14ac:dyDescent="0.15">
      <c r="A119" s="13">
        <v>43617</v>
      </c>
      <c r="B119" s="14">
        <v>895</v>
      </c>
      <c r="C119" s="20">
        <f>SUM(B119*B110)</f>
        <v>895</v>
      </c>
      <c r="D119" s="14">
        <v>0</v>
      </c>
      <c r="E119" s="20">
        <v>0</v>
      </c>
      <c r="F119" s="14">
        <v>5</v>
      </c>
      <c r="G119" s="20">
        <f>F119*F110</f>
        <v>50</v>
      </c>
      <c r="H119" s="14">
        <v>176</v>
      </c>
      <c r="I119" s="20">
        <f>SUM(H119*H110)</f>
        <v>176</v>
      </c>
      <c r="J119" s="14">
        <f>31+285+211</f>
        <v>527</v>
      </c>
      <c r="K119" s="20">
        <f>1016+855+738.5+2537.73+28.33</f>
        <v>5175.5599999999995</v>
      </c>
      <c r="L119" s="21">
        <f t="shared" si="7"/>
        <v>139886</v>
      </c>
      <c r="M119" s="22">
        <f t="shared" si="7"/>
        <v>870683.56</v>
      </c>
    </row>
    <row r="120" spans="1:13" s="1" customFormat="1" ht="12.75" x14ac:dyDescent="0.15">
      <c r="A120" s="13">
        <v>43647</v>
      </c>
      <c r="B120" s="14">
        <v>891</v>
      </c>
      <c r="C120" s="20">
        <f>SUM(B120*B110)</f>
        <v>891</v>
      </c>
      <c r="D120" s="14">
        <v>0</v>
      </c>
      <c r="E120" s="20">
        <v>0</v>
      </c>
      <c r="F120" s="14">
        <v>2</v>
      </c>
      <c r="G120" s="20">
        <f>F120*F110</f>
        <v>20</v>
      </c>
      <c r="H120" s="14">
        <v>118</v>
      </c>
      <c r="I120" s="20">
        <f>SUM(H120*H110)</f>
        <v>118</v>
      </c>
      <c r="J120" s="14">
        <f>15+280+234</f>
        <v>529</v>
      </c>
      <c r="K120" s="20">
        <f>553.25+840+819+2669.49+16</f>
        <v>4897.74</v>
      </c>
      <c r="L120" s="21">
        <f t="shared" si="7"/>
        <v>143873</v>
      </c>
      <c r="M120" s="22">
        <f t="shared" si="7"/>
        <v>920503.24</v>
      </c>
    </row>
    <row r="121" spans="1:13" s="1" customFormat="1" ht="12.75" x14ac:dyDescent="0.15">
      <c r="A121" s="13">
        <v>43678</v>
      </c>
      <c r="B121" s="14">
        <v>1008</v>
      </c>
      <c r="C121" s="20">
        <f>SUM(B121*B110)</f>
        <v>1008</v>
      </c>
      <c r="D121" s="14">
        <v>0</v>
      </c>
      <c r="E121" s="20">
        <v>0</v>
      </c>
      <c r="F121" s="14">
        <v>2</v>
      </c>
      <c r="G121" s="20">
        <f>F121*F110</f>
        <v>20</v>
      </c>
      <c r="H121" s="14">
        <v>98</v>
      </c>
      <c r="I121" s="20">
        <f>SUM(H121*H110)</f>
        <v>98</v>
      </c>
      <c r="J121" s="14">
        <f>2+248+222</f>
        <v>472</v>
      </c>
      <c r="K121" s="20">
        <f>67+744+777+2757.76</f>
        <v>4345.76</v>
      </c>
      <c r="L121" s="21">
        <f t="shared" si="7"/>
        <v>150172</v>
      </c>
      <c r="M121" s="22">
        <f t="shared" si="7"/>
        <v>939913.76</v>
      </c>
    </row>
    <row r="122" spans="1:13" s="1" customFormat="1" ht="12.75" x14ac:dyDescent="0.15">
      <c r="A122" s="13">
        <v>43709</v>
      </c>
      <c r="B122" s="14">
        <v>986</v>
      </c>
      <c r="C122" s="20">
        <f>SUM(B122*B110)</f>
        <v>986</v>
      </c>
      <c r="D122" s="14">
        <v>0</v>
      </c>
      <c r="E122" s="20">
        <v>0</v>
      </c>
      <c r="F122" s="14">
        <v>2</v>
      </c>
      <c r="G122" s="20">
        <f>F122*F110</f>
        <v>20</v>
      </c>
      <c r="H122" s="14">
        <v>116</v>
      </c>
      <c r="I122" s="20">
        <f>SUM(H122*H110)</f>
        <v>116</v>
      </c>
      <c r="J122" s="14">
        <f>225+225</f>
        <v>450</v>
      </c>
      <c r="K122" s="20">
        <f>675+787.5+2694.23+4.17</f>
        <v>4160.8999999999996</v>
      </c>
      <c r="L122" s="21">
        <f t="shared" si="7"/>
        <v>141363</v>
      </c>
      <c r="M122" s="22">
        <f t="shared" si="7"/>
        <v>873771.9</v>
      </c>
    </row>
    <row r="123" spans="1:13" s="1" customFormat="1" ht="13.5" thickBot="1" x14ac:dyDescent="0.2">
      <c r="A123" s="16" t="s">
        <v>18</v>
      </c>
      <c r="B123" s="17">
        <f t="shared" ref="B123:M123" si="8">SUM(B111:B122)</f>
        <v>11285</v>
      </c>
      <c r="C123" s="23">
        <f t="shared" si="8"/>
        <v>11285</v>
      </c>
      <c r="D123" s="19">
        <f t="shared" si="8"/>
        <v>0</v>
      </c>
      <c r="E123" s="23">
        <f t="shared" si="8"/>
        <v>0</v>
      </c>
      <c r="F123" s="19">
        <f t="shared" si="8"/>
        <v>60</v>
      </c>
      <c r="G123" s="23">
        <f t="shared" si="8"/>
        <v>600</v>
      </c>
      <c r="H123" s="19">
        <f t="shared" si="8"/>
        <v>1815</v>
      </c>
      <c r="I123" s="23">
        <f t="shared" si="8"/>
        <v>1815</v>
      </c>
      <c r="J123" s="17">
        <f t="shared" si="8"/>
        <v>5738</v>
      </c>
      <c r="K123" s="23">
        <f t="shared" si="8"/>
        <v>54205.750000000007</v>
      </c>
      <c r="L123" s="24">
        <f t="shared" si="8"/>
        <v>1716300</v>
      </c>
      <c r="M123" s="25">
        <f t="shared" si="8"/>
        <v>10665098.25</v>
      </c>
    </row>
    <row r="124" spans="1:13" s="1" customFormat="1" x14ac:dyDescent="0.15"/>
    <row r="125" spans="1:13" s="1" customFormat="1" ht="15" customHeight="1" x14ac:dyDescent="0.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s="1" customFormat="1" x14ac:dyDescent="0.15">
      <c r="A126" s="26"/>
    </row>
    <row r="127" spans="1:13" s="1" customFormat="1" ht="15.75" x14ac:dyDescent="0.15">
      <c r="A127" s="3" t="s">
        <v>33</v>
      </c>
    </row>
    <row r="128" spans="1:13" s="1" customFormat="1" ht="17.25" customHeight="1" x14ac:dyDescent="0.15">
      <c r="A128" s="28" t="s">
        <v>36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s="1" customFormat="1" ht="17.25" customHeight="1" x14ac:dyDescent="0.15">
      <c r="A129" s="29" t="s">
        <v>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s="1" customFormat="1" ht="17.2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1" customFormat="1" ht="17.25" customHeight="1" x14ac:dyDescent="0.15"/>
    <row r="132" spans="1:13" s="1" customFormat="1" ht="17.25" customHeight="1" x14ac:dyDescent="0.15"/>
    <row r="133" spans="1:13" s="1" customFormat="1" ht="13.5" customHeight="1" x14ac:dyDescent="0.15">
      <c r="A133" s="3" t="s">
        <v>2</v>
      </c>
      <c r="B133" s="4"/>
      <c r="C133" s="4"/>
      <c r="D133" s="4"/>
      <c r="E133" s="3"/>
      <c r="F133" s="4"/>
      <c r="G133" s="4"/>
      <c r="H133" s="4"/>
      <c r="I133" s="4"/>
      <c r="L133" s="4"/>
      <c r="M133" s="4"/>
    </row>
    <row r="134" spans="1:13" ht="13.5" thickBo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2.75" x14ac:dyDescent="0.15">
      <c r="A135" s="5" t="s">
        <v>3</v>
      </c>
      <c r="B135" s="6" t="s">
        <v>4</v>
      </c>
      <c r="C135" s="6" t="s">
        <v>5</v>
      </c>
      <c r="D135" s="6" t="s">
        <v>6</v>
      </c>
      <c r="E135" s="6" t="s">
        <v>7</v>
      </c>
      <c r="F135" s="6" t="s">
        <v>8</v>
      </c>
      <c r="G135" s="7" t="s">
        <v>9</v>
      </c>
      <c r="H135" s="6" t="s">
        <v>10</v>
      </c>
      <c r="I135" s="7" t="s">
        <v>11</v>
      </c>
      <c r="J135" s="6" t="s">
        <v>12</v>
      </c>
      <c r="K135" s="7" t="s">
        <v>13</v>
      </c>
      <c r="L135" s="5" t="s">
        <v>14</v>
      </c>
      <c r="M135" s="6" t="s">
        <v>15</v>
      </c>
    </row>
    <row r="136" spans="1:13" ht="13.5" thickBot="1" x14ac:dyDescent="0.2">
      <c r="A136" s="8" t="s">
        <v>16</v>
      </c>
      <c r="B136" s="9">
        <v>3.75</v>
      </c>
      <c r="C136" s="10" t="s">
        <v>17</v>
      </c>
      <c r="D136" s="9">
        <v>11</v>
      </c>
      <c r="E136" s="10" t="s">
        <v>17</v>
      </c>
      <c r="F136" s="9">
        <v>15</v>
      </c>
      <c r="G136" s="11" t="s">
        <v>17</v>
      </c>
      <c r="H136" s="9">
        <v>17.25</v>
      </c>
      <c r="I136" s="11" t="s">
        <v>17</v>
      </c>
      <c r="J136" s="9">
        <v>22</v>
      </c>
      <c r="K136" s="11" t="s">
        <v>17</v>
      </c>
      <c r="L136" s="12">
        <v>25</v>
      </c>
      <c r="M136" s="10" t="s">
        <v>17</v>
      </c>
    </row>
    <row r="137" spans="1:13" ht="12.75" x14ac:dyDescent="0.15">
      <c r="A137" s="13">
        <v>43374</v>
      </c>
      <c r="B137" s="14">
        <f t="shared" ref="B137:M148" si="9">B11+B53+B95</f>
        <v>259129</v>
      </c>
      <c r="C137" s="15">
        <f t="shared" si="9"/>
        <v>971733.75</v>
      </c>
      <c r="D137" s="14">
        <f t="shared" si="9"/>
        <v>2548</v>
      </c>
      <c r="E137" s="15">
        <f t="shared" si="9"/>
        <v>28028</v>
      </c>
      <c r="F137" s="14">
        <f t="shared" si="9"/>
        <v>2028</v>
      </c>
      <c r="G137" s="15">
        <f t="shared" si="9"/>
        <v>30420</v>
      </c>
      <c r="H137" s="14">
        <f t="shared" si="9"/>
        <v>106</v>
      </c>
      <c r="I137" s="15">
        <f t="shared" si="9"/>
        <v>1828.5</v>
      </c>
      <c r="J137" s="14">
        <f t="shared" si="9"/>
        <v>18787</v>
      </c>
      <c r="K137" s="15">
        <f t="shared" si="9"/>
        <v>413314</v>
      </c>
      <c r="L137" s="14">
        <f t="shared" si="9"/>
        <v>1454</v>
      </c>
      <c r="M137" s="15">
        <f t="shared" si="9"/>
        <v>36350</v>
      </c>
    </row>
    <row r="138" spans="1:13" ht="12.75" x14ac:dyDescent="0.15">
      <c r="A138" s="13">
        <v>43405</v>
      </c>
      <c r="B138" s="14">
        <f t="shared" si="9"/>
        <v>256940</v>
      </c>
      <c r="C138" s="15">
        <f t="shared" si="9"/>
        <v>963525</v>
      </c>
      <c r="D138" s="14">
        <f t="shared" si="9"/>
        <v>2306</v>
      </c>
      <c r="E138" s="15">
        <f t="shared" si="9"/>
        <v>25366</v>
      </c>
      <c r="F138" s="14">
        <f t="shared" si="9"/>
        <v>2223</v>
      </c>
      <c r="G138" s="15">
        <f t="shared" si="9"/>
        <v>33345</v>
      </c>
      <c r="H138" s="14">
        <f t="shared" si="9"/>
        <v>62</v>
      </c>
      <c r="I138" s="15">
        <f t="shared" si="9"/>
        <v>1069.5</v>
      </c>
      <c r="J138" s="14">
        <f t="shared" si="9"/>
        <v>17011</v>
      </c>
      <c r="K138" s="15">
        <f t="shared" si="9"/>
        <v>374242</v>
      </c>
      <c r="L138" s="14">
        <f t="shared" si="9"/>
        <v>1139</v>
      </c>
      <c r="M138" s="15">
        <f t="shared" si="9"/>
        <v>28475</v>
      </c>
    </row>
    <row r="139" spans="1:13" ht="12.75" x14ac:dyDescent="0.15">
      <c r="A139" s="13">
        <v>43435</v>
      </c>
      <c r="B139" s="14">
        <f t="shared" si="9"/>
        <v>286908</v>
      </c>
      <c r="C139" s="15">
        <f t="shared" si="9"/>
        <v>1075905</v>
      </c>
      <c r="D139" s="14">
        <f t="shared" si="9"/>
        <v>1893</v>
      </c>
      <c r="E139" s="15">
        <f t="shared" si="9"/>
        <v>20823</v>
      </c>
      <c r="F139" s="14">
        <f t="shared" si="9"/>
        <v>1902</v>
      </c>
      <c r="G139" s="15">
        <f t="shared" si="9"/>
        <v>28530</v>
      </c>
      <c r="H139" s="14">
        <f t="shared" si="9"/>
        <v>47</v>
      </c>
      <c r="I139" s="15">
        <f t="shared" si="9"/>
        <v>810.75</v>
      </c>
      <c r="J139" s="14">
        <f t="shared" si="9"/>
        <v>14037</v>
      </c>
      <c r="K139" s="15">
        <f t="shared" si="9"/>
        <v>308814</v>
      </c>
      <c r="L139" s="14">
        <f t="shared" si="9"/>
        <v>1079</v>
      </c>
      <c r="M139" s="15">
        <f t="shared" si="9"/>
        <v>26975</v>
      </c>
    </row>
    <row r="140" spans="1:13" ht="12.75" x14ac:dyDescent="0.15">
      <c r="A140" s="13">
        <v>43466</v>
      </c>
      <c r="B140" s="14">
        <f t="shared" si="9"/>
        <v>258375</v>
      </c>
      <c r="C140" s="15">
        <f t="shared" si="9"/>
        <v>968906.25</v>
      </c>
      <c r="D140" s="14">
        <f t="shared" si="9"/>
        <v>2128</v>
      </c>
      <c r="E140" s="15">
        <f t="shared" si="9"/>
        <v>23408</v>
      </c>
      <c r="F140" s="14">
        <f t="shared" si="9"/>
        <v>2262</v>
      </c>
      <c r="G140" s="15">
        <f t="shared" si="9"/>
        <v>33930</v>
      </c>
      <c r="H140" s="14">
        <f t="shared" si="9"/>
        <v>64</v>
      </c>
      <c r="I140" s="15">
        <f t="shared" si="9"/>
        <v>1104</v>
      </c>
      <c r="J140" s="14">
        <f t="shared" si="9"/>
        <v>17250</v>
      </c>
      <c r="K140" s="15">
        <f t="shared" si="9"/>
        <v>379500</v>
      </c>
      <c r="L140" s="14">
        <f t="shared" si="9"/>
        <v>1029</v>
      </c>
      <c r="M140" s="15">
        <f t="shared" si="9"/>
        <v>25725</v>
      </c>
    </row>
    <row r="141" spans="1:13" ht="12.75" x14ac:dyDescent="0.15">
      <c r="A141" s="13">
        <v>43497</v>
      </c>
      <c r="B141" s="14">
        <f t="shared" si="9"/>
        <v>235210</v>
      </c>
      <c r="C141" s="15">
        <f t="shared" si="9"/>
        <v>882037.5</v>
      </c>
      <c r="D141" s="14">
        <f t="shared" si="9"/>
        <v>2044</v>
      </c>
      <c r="E141" s="15">
        <f t="shared" si="9"/>
        <v>22484</v>
      </c>
      <c r="F141" s="14">
        <f t="shared" si="9"/>
        <v>2074</v>
      </c>
      <c r="G141" s="15">
        <f t="shared" si="9"/>
        <v>31110</v>
      </c>
      <c r="H141" s="14">
        <f t="shared" si="9"/>
        <v>63</v>
      </c>
      <c r="I141" s="15">
        <f t="shared" si="9"/>
        <v>1086.75</v>
      </c>
      <c r="J141" s="14">
        <f t="shared" si="9"/>
        <v>16634</v>
      </c>
      <c r="K141" s="15">
        <f t="shared" si="9"/>
        <v>365948</v>
      </c>
      <c r="L141" s="14">
        <f t="shared" si="9"/>
        <v>940</v>
      </c>
      <c r="M141" s="15">
        <f t="shared" si="9"/>
        <v>23500</v>
      </c>
    </row>
    <row r="142" spans="1:13" ht="12.75" x14ac:dyDescent="0.15">
      <c r="A142" s="13">
        <v>43525</v>
      </c>
      <c r="B142" s="14">
        <f t="shared" si="9"/>
        <v>265699</v>
      </c>
      <c r="C142" s="15">
        <f t="shared" si="9"/>
        <v>996371.25</v>
      </c>
      <c r="D142" s="14">
        <f t="shared" si="9"/>
        <v>2256</v>
      </c>
      <c r="E142" s="15">
        <f t="shared" si="9"/>
        <v>24816</v>
      </c>
      <c r="F142" s="14">
        <f t="shared" si="9"/>
        <v>2186</v>
      </c>
      <c r="G142" s="15">
        <f t="shared" si="9"/>
        <v>32790</v>
      </c>
      <c r="H142" s="14">
        <f t="shared" si="9"/>
        <v>75</v>
      </c>
      <c r="I142" s="15">
        <f t="shared" si="9"/>
        <v>1293.75</v>
      </c>
      <c r="J142" s="14">
        <f t="shared" si="9"/>
        <v>18219</v>
      </c>
      <c r="K142" s="15">
        <f t="shared" si="9"/>
        <v>400818</v>
      </c>
      <c r="L142" s="14">
        <f t="shared" si="9"/>
        <v>1023</v>
      </c>
      <c r="M142" s="15">
        <f t="shared" si="9"/>
        <v>25575</v>
      </c>
    </row>
    <row r="143" spans="1:13" ht="12.75" x14ac:dyDescent="0.15">
      <c r="A143" s="13">
        <v>43556</v>
      </c>
      <c r="B143" s="14">
        <f t="shared" si="9"/>
        <v>204075</v>
      </c>
      <c r="C143" s="15">
        <f t="shared" si="9"/>
        <v>765281.25</v>
      </c>
      <c r="D143" s="14">
        <f t="shared" si="9"/>
        <v>2052</v>
      </c>
      <c r="E143" s="15">
        <f t="shared" si="9"/>
        <v>22572</v>
      </c>
      <c r="F143" s="14">
        <f t="shared" si="9"/>
        <v>1898</v>
      </c>
      <c r="G143" s="15">
        <f t="shared" si="9"/>
        <v>28470</v>
      </c>
      <c r="H143" s="14">
        <f t="shared" si="9"/>
        <v>61</v>
      </c>
      <c r="I143" s="15">
        <f t="shared" si="9"/>
        <v>1052.25</v>
      </c>
      <c r="J143" s="14">
        <f t="shared" si="9"/>
        <v>17202</v>
      </c>
      <c r="K143" s="15">
        <f t="shared" si="9"/>
        <v>378444</v>
      </c>
      <c r="L143" s="14">
        <f t="shared" si="9"/>
        <v>1028</v>
      </c>
      <c r="M143" s="15">
        <f t="shared" si="9"/>
        <v>25700</v>
      </c>
    </row>
    <row r="144" spans="1:13" ht="12.75" x14ac:dyDescent="0.15">
      <c r="A144" s="13">
        <v>43586</v>
      </c>
      <c r="B144" s="14">
        <f t="shared" si="9"/>
        <v>245583</v>
      </c>
      <c r="C144" s="15">
        <f t="shared" si="9"/>
        <v>920936.25</v>
      </c>
      <c r="D144" s="14">
        <f t="shared" si="9"/>
        <v>2271</v>
      </c>
      <c r="E144" s="15">
        <f t="shared" si="9"/>
        <v>24981</v>
      </c>
      <c r="F144" s="14">
        <f t="shared" si="9"/>
        <v>2242</v>
      </c>
      <c r="G144" s="15">
        <f t="shared" si="9"/>
        <v>33630</v>
      </c>
      <c r="H144" s="14">
        <f t="shared" si="9"/>
        <v>48</v>
      </c>
      <c r="I144" s="15">
        <f t="shared" si="9"/>
        <v>828</v>
      </c>
      <c r="J144" s="14">
        <f t="shared" si="9"/>
        <v>18541</v>
      </c>
      <c r="K144" s="15">
        <f t="shared" si="9"/>
        <v>407902</v>
      </c>
      <c r="L144" s="14">
        <f t="shared" si="9"/>
        <v>1159</v>
      </c>
      <c r="M144" s="15">
        <f t="shared" si="9"/>
        <v>28975</v>
      </c>
    </row>
    <row r="145" spans="1:13" ht="12.75" x14ac:dyDescent="0.15">
      <c r="A145" s="13">
        <v>43617</v>
      </c>
      <c r="B145" s="14">
        <f t="shared" si="9"/>
        <v>251792</v>
      </c>
      <c r="C145" s="15">
        <f t="shared" si="9"/>
        <v>944220</v>
      </c>
      <c r="D145" s="14">
        <f t="shared" si="9"/>
        <v>2091</v>
      </c>
      <c r="E145" s="15">
        <f t="shared" si="9"/>
        <v>23001</v>
      </c>
      <c r="F145" s="14">
        <f t="shared" si="9"/>
        <v>2452</v>
      </c>
      <c r="G145" s="15">
        <f t="shared" si="9"/>
        <v>36780</v>
      </c>
      <c r="H145" s="14">
        <f t="shared" si="9"/>
        <v>37</v>
      </c>
      <c r="I145" s="15">
        <f t="shared" si="9"/>
        <v>638.25</v>
      </c>
      <c r="J145" s="14">
        <f t="shared" si="9"/>
        <v>17282</v>
      </c>
      <c r="K145" s="15">
        <f t="shared" si="9"/>
        <v>380204</v>
      </c>
      <c r="L145" s="14">
        <f t="shared" si="9"/>
        <v>953</v>
      </c>
      <c r="M145" s="15">
        <f t="shared" si="9"/>
        <v>23825</v>
      </c>
    </row>
    <row r="146" spans="1:13" ht="12.75" x14ac:dyDescent="0.15">
      <c r="A146" s="13">
        <v>43647</v>
      </c>
      <c r="B146" s="14">
        <f t="shared" si="9"/>
        <v>261152</v>
      </c>
      <c r="C146" s="15">
        <f t="shared" si="9"/>
        <v>979320</v>
      </c>
      <c r="D146" s="14">
        <f t="shared" si="9"/>
        <v>2236</v>
      </c>
      <c r="E146" s="15">
        <f t="shared" si="9"/>
        <v>24596</v>
      </c>
      <c r="F146" s="14">
        <f t="shared" si="9"/>
        <v>2805</v>
      </c>
      <c r="G146" s="15">
        <f t="shared" si="9"/>
        <v>42075</v>
      </c>
      <c r="H146" s="14">
        <f t="shared" si="9"/>
        <v>35</v>
      </c>
      <c r="I146" s="15">
        <f t="shared" si="9"/>
        <v>603.75</v>
      </c>
      <c r="J146" s="14">
        <f t="shared" si="9"/>
        <v>18894</v>
      </c>
      <c r="K146" s="15">
        <f t="shared" si="9"/>
        <v>415668</v>
      </c>
      <c r="L146" s="14">
        <f t="shared" si="9"/>
        <v>1087</v>
      </c>
      <c r="M146" s="15">
        <f t="shared" si="9"/>
        <v>27175</v>
      </c>
    </row>
    <row r="147" spans="1:13" ht="12.75" x14ac:dyDescent="0.15">
      <c r="A147" s="13">
        <v>43678</v>
      </c>
      <c r="B147" s="14">
        <f t="shared" si="9"/>
        <v>265716</v>
      </c>
      <c r="C147" s="15">
        <f t="shared" si="9"/>
        <v>996435</v>
      </c>
      <c r="D147" s="14">
        <f t="shared" si="9"/>
        <v>2314</v>
      </c>
      <c r="E147" s="15">
        <f t="shared" si="9"/>
        <v>25454</v>
      </c>
      <c r="F147" s="14">
        <f t="shared" si="9"/>
        <v>2862</v>
      </c>
      <c r="G147" s="15">
        <f t="shared" si="9"/>
        <v>42930</v>
      </c>
      <c r="H147" s="14">
        <f t="shared" si="9"/>
        <v>40</v>
      </c>
      <c r="I147" s="15">
        <f t="shared" si="9"/>
        <v>690</v>
      </c>
      <c r="J147" s="14">
        <f t="shared" si="9"/>
        <v>18641</v>
      </c>
      <c r="K147" s="15">
        <f t="shared" si="9"/>
        <v>410102</v>
      </c>
      <c r="L147" s="14">
        <f t="shared" si="9"/>
        <v>1017</v>
      </c>
      <c r="M147" s="15">
        <f t="shared" si="9"/>
        <v>25425</v>
      </c>
    </row>
    <row r="148" spans="1:13" ht="12.75" x14ac:dyDescent="0.15">
      <c r="A148" s="13">
        <v>43709</v>
      </c>
      <c r="B148" s="14">
        <f t="shared" si="9"/>
        <v>248437</v>
      </c>
      <c r="C148" s="15">
        <f t="shared" si="9"/>
        <v>931638.75</v>
      </c>
      <c r="D148" s="14">
        <f t="shared" si="9"/>
        <v>2103</v>
      </c>
      <c r="E148" s="15">
        <f t="shared" si="9"/>
        <v>23133</v>
      </c>
      <c r="F148" s="14">
        <f t="shared" si="9"/>
        <v>2566</v>
      </c>
      <c r="G148" s="15">
        <f t="shared" si="9"/>
        <v>38490</v>
      </c>
      <c r="H148" s="14">
        <f t="shared" si="9"/>
        <v>40</v>
      </c>
      <c r="I148" s="15">
        <f t="shared" si="9"/>
        <v>690</v>
      </c>
      <c r="J148" s="14">
        <f t="shared" si="9"/>
        <v>16599</v>
      </c>
      <c r="K148" s="15">
        <f t="shared" si="9"/>
        <v>365178</v>
      </c>
      <c r="L148" s="14">
        <f t="shared" si="9"/>
        <v>1166</v>
      </c>
      <c r="M148" s="15">
        <f t="shared" si="9"/>
        <v>29150</v>
      </c>
    </row>
    <row r="149" spans="1:13" ht="13.5" thickBot="1" x14ac:dyDescent="0.2">
      <c r="A149" s="16" t="s">
        <v>18</v>
      </c>
      <c r="B149" s="17">
        <f t="shared" ref="B149:M149" si="10">SUM(B137:B148)</f>
        <v>3039016</v>
      </c>
      <c r="C149" s="18">
        <f t="shared" si="10"/>
        <v>11396310</v>
      </c>
      <c r="D149" s="17">
        <f t="shared" si="10"/>
        <v>26242</v>
      </c>
      <c r="E149" s="18">
        <f t="shared" si="10"/>
        <v>288662</v>
      </c>
      <c r="F149" s="17">
        <f t="shared" si="10"/>
        <v>27500</v>
      </c>
      <c r="G149" s="18">
        <f t="shared" si="10"/>
        <v>412500</v>
      </c>
      <c r="H149" s="19">
        <f t="shared" si="10"/>
        <v>678</v>
      </c>
      <c r="I149" s="18">
        <f t="shared" si="10"/>
        <v>11695.5</v>
      </c>
      <c r="J149" s="17">
        <f t="shared" si="10"/>
        <v>209097</v>
      </c>
      <c r="K149" s="18">
        <f t="shared" si="10"/>
        <v>4600134</v>
      </c>
      <c r="L149" s="17">
        <f t="shared" si="10"/>
        <v>13074</v>
      </c>
      <c r="M149" s="18">
        <f t="shared" si="10"/>
        <v>326850</v>
      </c>
    </row>
    <row r="150" spans="1:13" ht="12.75" thickBo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x14ac:dyDescent="0.15">
      <c r="A151" s="5" t="s">
        <v>3</v>
      </c>
      <c r="B151" s="6" t="s">
        <v>19</v>
      </c>
      <c r="C151" s="6" t="s">
        <v>20</v>
      </c>
      <c r="D151" s="6" t="s">
        <v>21</v>
      </c>
      <c r="E151" s="6" t="s">
        <v>22</v>
      </c>
      <c r="F151" s="6" t="s">
        <v>23</v>
      </c>
      <c r="G151" s="6" t="s">
        <v>24</v>
      </c>
      <c r="H151" s="6" t="s">
        <v>25</v>
      </c>
      <c r="I151" s="6" t="s">
        <v>26</v>
      </c>
      <c r="J151" s="6" t="s">
        <v>27</v>
      </c>
      <c r="K151" s="6" t="s">
        <v>28</v>
      </c>
      <c r="L151" s="6" t="s">
        <v>29</v>
      </c>
      <c r="M151" s="6" t="s">
        <v>29</v>
      </c>
    </row>
    <row r="152" spans="1:13" ht="13.5" thickBot="1" x14ac:dyDescent="0.2">
      <c r="A152" s="8" t="s">
        <v>16</v>
      </c>
      <c r="B152" s="9">
        <v>1</v>
      </c>
      <c r="C152" s="10" t="s">
        <v>17</v>
      </c>
      <c r="D152" s="9" t="s">
        <v>30</v>
      </c>
      <c r="E152" s="10" t="s">
        <v>17</v>
      </c>
      <c r="F152" s="9">
        <v>10</v>
      </c>
      <c r="G152" s="10" t="s">
        <v>17</v>
      </c>
      <c r="H152" s="9">
        <v>1</v>
      </c>
      <c r="I152" s="10" t="s">
        <v>17</v>
      </c>
      <c r="J152" s="10"/>
      <c r="K152" s="10" t="s">
        <v>17</v>
      </c>
      <c r="L152" s="10" t="s">
        <v>31</v>
      </c>
      <c r="M152" s="10" t="s">
        <v>32</v>
      </c>
    </row>
    <row r="153" spans="1:13" ht="12.75" x14ac:dyDescent="0.15">
      <c r="A153" s="13">
        <v>43374</v>
      </c>
      <c r="B153" s="14">
        <f t="shared" ref="B153:M164" si="11">B27+B69+B111</f>
        <v>2837</v>
      </c>
      <c r="C153" s="20">
        <f t="shared" si="11"/>
        <v>2837</v>
      </c>
      <c r="D153" s="14">
        <f t="shared" si="11"/>
        <v>6245</v>
      </c>
      <c r="E153" s="20">
        <f t="shared" si="11"/>
        <v>51737.75</v>
      </c>
      <c r="F153" s="14">
        <f t="shared" si="11"/>
        <v>556</v>
      </c>
      <c r="G153" s="20">
        <f t="shared" si="11"/>
        <v>5560</v>
      </c>
      <c r="H153" s="14">
        <f t="shared" si="11"/>
        <v>196245</v>
      </c>
      <c r="I153" s="20">
        <f t="shared" si="11"/>
        <v>196245</v>
      </c>
      <c r="J153" s="14">
        <f t="shared" si="11"/>
        <v>3021</v>
      </c>
      <c r="K153" s="20">
        <f t="shared" si="11"/>
        <v>32568.51</v>
      </c>
      <c r="L153" s="21">
        <f t="shared" si="11"/>
        <v>492956</v>
      </c>
      <c r="M153" s="22">
        <f t="shared" si="11"/>
        <v>1770622.51</v>
      </c>
    </row>
    <row r="154" spans="1:13" ht="12.75" x14ac:dyDescent="0.15">
      <c r="A154" s="13">
        <v>43405</v>
      </c>
      <c r="B154" s="14">
        <f t="shared" si="11"/>
        <v>2364</v>
      </c>
      <c r="C154" s="20">
        <f t="shared" si="11"/>
        <v>2364</v>
      </c>
      <c r="D154" s="14">
        <f t="shared" si="11"/>
        <v>6306</v>
      </c>
      <c r="E154" s="20">
        <f t="shared" si="11"/>
        <v>52368</v>
      </c>
      <c r="F154" s="14">
        <f t="shared" si="11"/>
        <v>557</v>
      </c>
      <c r="G154" s="20">
        <f t="shared" si="11"/>
        <v>5570</v>
      </c>
      <c r="H154" s="14">
        <f t="shared" si="11"/>
        <v>189091</v>
      </c>
      <c r="I154" s="20">
        <f t="shared" si="11"/>
        <v>189091</v>
      </c>
      <c r="J154" s="14">
        <f t="shared" si="11"/>
        <v>3138</v>
      </c>
      <c r="K154" s="20">
        <f t="shared" si="11"/>
        <v>22284.89</v>
      </c>
      <c r="L154" s="21">
        <f t="shared" si="11"/>
        <v>481137</v>
      </c>
      <c r="M154" s="22">
        <f t="shared" si="11"/>
        <v>1697700.3900000001</v>
      </c>
    </row>
    <row r="155" spans="1:13" ht="12.75" x14ac:dyDescent="0.15">
      <c r="A155" s="13">
        <v>43435</v>
      </c>
      <c r="B155" s="14">
        <f t="shared" si="11"/>
        <v>2433</v>
      </c>
      <c r="C155" s="20">
        <f t="shared" si="11"/>
        <v>2433</v>
      </c>
      <c r="D155" s="14">
        <f t="shared" si="11"/>
        <v>7691</v>
      </c>
      <c r="E155" s="20">
        <f t="shared" si="11"/>
        <v>63798.25</v>
      </c>
      <c r="F155" s="14">
        <f t="shared" si="11"/>
        <v>576</v>
      </c>
      <c r="G155" s="20">
        <f t="shared" si="11"/>
        <v>5760</v>
      </c>
      <c r="H155" s="14">
        <f t="shared" si="11"/>
        <v>206465</v>
      </c>
      <c r="I155" s="20">
        <f t="shared" si="11"/>
        <v>206465</v>
      </c>
      <c r="J155" s="14">
        <f t="shared" si="11"/>
        <v>3706</v>
      </c>
      <c r="K155" s="20">
        <f t="shared" si="11"/>
        <v>22108.35</v>
      </c>
      <c r="L155" s="21">
        <f t="shared" si="11"/>
        <v>526737</v>
      </c>
      <c r="M155" s="22">
        <f t="shared" si="11"/>
        <v>1762422.35</v>
      </c>
    </row>
    <row r="156" spans="1:13" ht="12.75" x14ac:dyDescent="0.15">
      <c r="A156" s="13">
        <v>43466</v>
      </c>
      <c r="B156" s="14">
        <f t="shared" si="11"/>
        <v>2420</v>
      </c>
      <c r="C156" s="20">
        <f t="shared" si="11"/>
        <v>2420</v>
      </c>
      <c r="D156" s="14">
        <f t="shared" si="11"/>
        <v>3754</v>
      </c>
      <c r="E156" s="20">
        <f t="shared" si="11"/>
        <v>30413</v>
      </c>
      <c r="F156" s="14">
        <f t="shared" si="11"/>
        <v>556</v>
      </c>
      <c r="G156" s="20">
        <f t="shared" si="11"/>
        <v>5560</v>
      </c>
      <c r="H156" s="14">
        <f t="shared" si="11"/>
        <v>182000</v>
      </c>
      <c r="I156" s="20">
        <f t="shared" si="11"/>
        <v>182000</v>
      </c>
      <c r="J156" s="14">
        <f t="shared" si="11"/>
        <v>2013</v>
      </c>
      <c r="K156" s="20">
        <f t="shared" si="11"/>
        <v>13710.74</v>
      </c>
      <c r="L156" s="21">
        <f t="shared" si="11"/>
        <v>471851</v>
      </c>
      <c r="M156" s="22">
        <f t="shared" si="11"/>
        <v>1666676.99</v>
      </c>
    </row>
    <row r="157" spans="1:13" ht="12.75" x14ac:dyDescent="0.15">
      <c r="A157" s="13">
        <v>43497</v>
      </c>
      <c r="B157" s="14">
        <f t="shared" si="11"/>
        <v>2568</v>
      </c>
      <c r="C157" s="20">
        <f t="shared" si="11"/>
        <v>2568</v>
      </c>
      <c r="D157" s="14">
        <f t="shared" si="11"/>
        <v>5215</v>
      </c>
      <c r="E157" s="20">
        <f t="shared" si="11"/>
        <v>42712.25</v>
      </c>
      <c r="F157" s="14">
        <f t="shared" si="11"/>
        <v>491</v>
      </c>
      <c r="G157" s="20">
        <f t="shared" si="11"/>
        <v>4910</v>
      </c>
      <c r="H157" s="14">
        <f t="shared" si="11"/>
        <v>179260</v>
      </c>
      <c r="I157" s="20">
        <f t="shared" si="11"/>
        <v>179260</v>
      </c>
      <c r="J157" s="14">
        <f t="shared" si="11"/>
        <v>2351</v>
      </c>
      <c r="K157" s="20">
        <f t="shared" si="11"/>
        <v>14634.59</v>
      </c>
      <c r="L157" s="21">
        <f t="shared" si="11"/>
        <v>446850</v>
      </c>
      <c r="M157" s="22">
        <f t="shared" si="11"/>
        <v>1570251.09</v>
      </c>
    </row>
    <row r="158" spans="1:13" ht="12.75" x14ac:dyDescent="0.15">
      <c r="A158" s="13">
        <v>43525</v>
      </c>
      <c r="B158" s="14">
        <f t="shared" si="11"/>
        <v>2437</v>
      </c>
      <c r="C158" s="20">
        <f t="shared" si="11"/>
        <v>2437</v>
      </c>
      <c r="D158" s="14">
        <f t="shared" si="11"/>
        <v>5273</v>
      </c>
      <c r="E158" s="20">
        <f t="shared" si="11"/>
        <v>43406.75</v>
      </c>
      <c r="F158" s="14">
        <f t="shared" si="11"/>
        <v>563</v>
      </c>
      <c r="G158" s="20">
        <f t="shared" si="11"/>
        <v>5630</v>
      </c>
      <c r="H158" s="14">
        <f t="shared" si="11"/>
        <v>197078</v>
      </c>
      <c r="I158" s="20">
        <f t="shared" si="11"/>
        <v>197078</v>
      </c>
      <c r="J158" s="14">
        <f t="shared" si="11"/>
        <v>2681</v>
      </c>
      <c r="K158" s="20">
        <f t="shared" si="11"/>
        <v>17494.47</v>
      </c>
      <c r="L158" s="21">
        <f t="shared" si="11"/>
        <v>497490</v>
      </c>
      <c r="M158" s="22">
        <f t="shared" si="11"/>
        <v>1747710.2200000002</v>
      </c>
    </row>
    <row r="159" spans="1:13" ht="12.75" x14ac:dyDescent="0.15">
      <c r="A159" s="13">
        <v>43556</v>
      </c>
      <c r="B159" s="14">
        <f t="shared" si="11"/>
        <v>3933</v>
      </c>
      <c r="C159" s="20">
        <f t="shared" si="11"/>
        <v>3933</v>
      </c>
      <c r="D159" s="14">
        <f t="shared" si="11"/>
        <v>5638</v>
      </c>
      <c r="E159" s="20">
        <f t="shared" si="11"/>
        <v>46690.5</v>
      </c>
      <c r="F159" s="14">
        <f t="shared" si="11"/>
        <v>520</v>
      </c>
      <c r="G159" s="20">
        <f t="shared" si="11"/>
        <v>5200</v>
      </c>
      <c r="H159" s="14">
        <f t="shared" si="11"/>
        <v>206524</v>
      </c>
      <c r="I159" s="20">
        <f t="shared" si="11"/>
        <v>206524</v>
      </c>
      <c r="J159" s="14">
        <f t="shared" si="11"/>
        <v>2791</v>
      </c>
      <c r="K159" s="20">
        <f t="shared" si="11"/>
        <v>17383.97</v>
      </c>
      <c r="L159" s="21">
        <f t="shared" si="11"/>
        <v>445722</v>
      </c>
      <c r="M159" s="22">
        <f t="shared" si="11"/>
        <v>1501250.9700000002</v>
      </c>
    </row>
    <row r="160" spans="1:13" ht="12.75" x14ac:dyDescent="0.15">
      <c r="A160" s="13">
        <v>43586</v>
      </c>
      <c r="B160" s="14">
        <f t="shared" si="11"/>
        <v>4949</v>
      </c>
      <c r="C160" s="20">
        <f t="shared" si="11"/>
        <v>4949</v>
      </c>
      <c r="D160" s="14">
        <f t="shared" si="11"/>
        <v>5613</v>
      </c>
      <c r="E160" s="20">
        <f t="shared" si="11"/>
        <v>46451.25</v>
      </c>
      <c r="F160" s="14">
        <f t="shared" si="11"/>
        <v>518</v>
      </c>
      <c r="G160" s="20">
        <f t="shared" si="11"/>
        <v>5180</v>
      </c>
      <c r="H160" s="14">
        <f t="shared" si="11"/>
        <v>202783</v>
      </c>
      <c r="I160" s="20">
        <f t="shared" si="11"/>
        <v>202783</v>
      </c>
      <c r="J160" s="14">
        <f t="shared" si="11"/>
        <v>2692</v>
      </c>
      <c r="K160" s="20">
        <f t="shared" si="11"/>
        <v>17587.099999999999</v>
      </c>
      <c r="L160" s="21">
        <f t="shared" si="11"/>
        <v>486399</v>
      </c>
      <c r="M160" s="22">
        <f t="shared" si="11"/>
        <v>1694202.6</v>
      </c>
    </row>
    <row r="161" spans="1:13" ht="12.75" x14ac:dyDescent="0.15">
      <c r="A161" s="13">
        <v>43617</v>
      </c>
      <c r="B161" s="14">
        <f t="shared" si="11"/>
        <v>3946</v>
      </c>
      <c r="C161" s="20">
        <f t="shared" si="11"/>
        <v>3946</v>
      </c>
      <c r="D161" s="14">
        <f t="shared" si="11"/>
        <v>5047</v>
      </c>
      <c r="E161" s="20">
        <f t="shared" si="11"/>
        <v>41627.25</v>
      </c>
      <c r="F161" s="14">
        <f t="shared" si="11"/>
        <v>527</v>
      </c>
      <c r="G161" s="20">
        <f t="shared" si="11"/>
        <v>5270</v>
      </c>
      <c r="H161" s="14">
        <f t="shared" si="11"/>
        <v>183198</v>
      </c>
      <c r="I161" s="20">
        <f t="shared" si="11"/>
        <v>183198</v>
      </c>
      <c r="J161" s="14">
        <f t="shared" si="11"/>
        <v>2695</v>
      </c>
      <c r="K161" s="20">
        <f t="shared" si="11"/>
        <v>17490.669999999998</v>
      </c>
      <c r="L161" s="21">
        <f t="shared" si="11"/>
        <v>470020</v>
      </c>
      <c r="M161" s="22">
        <f t="shared" si="11"/>
        <v>1660200.17</v>
      </c>
    </row>
    <row r="162" spans="1:13" ht="12.75" x14ac:dyDescent="0.15">
      <c r="A162" s="13">
        <v>43647</v>
      </c>
      <c r="B162" s="14">
        <f t="shared" si="11"/>
        <v>4224</v>
      </c>
      <c r="C162" s="20">
        <f t="shared" si="11"/>
        <v>4224</v>
      </c>
      <c r="D162" s="14">
        <f t="shared" si="11"/>
        <v>6007</v>
      </c>
      <c r="E162" s="20">
        <f t="shared" si="11"/>
        <v>49896.75</v>
      </c>
      <c r="F162" s="14">
        <f t="shared" si="11"/>
        <v>533</v>
      </c>
      <c r="G162" s="20">
        <f t="shared" si="11"/>
        <v>5330</v>
      </c>
      <c r="H162" s="14">
        <f t="shared" si="11"/>
        <v>185361</v>
      </c>
      <c r="I162" s="20">
        <f t="shared" si="11"/>
        <v>185361</v>
      </c>
      <c r="J162" s="14">
        <f t="shared" si="11"/>
        <v>3111</v>
      </c>
      <c r="K162" s="20">
        <f t="shared" si="11"/>
        <v>20988.81</v>
      </c>
      <c r="L162" s="21">
        <f t="shared" si="11"/>
        <v>485445</v>
      </c>
      <c r="M162" s="22">
        <f t="shared" si="11"/>
        <v>1755238.31</v>
      </c>
    </row>
    <row r="163" spans="1:13" ht="12.75" x14ac:dyDescent="0.15">
      <c r="A163" s="13">
        <v>43678</v>
      </c>
      <c r="B163" s="14">
        <f t="shared" si="11"/>
        <v>4949</v>
      </c>
      <c r="C163" s="20">
        <f t="shared" si="11"/>
        <v>4949</v>
      </c>
      <c r="D163" s="14">
        <f t="shared" si="11"/>
        <v>5683</v>
      </c>
      <c r="E163" s="20">
        <f t="shared" si="11"/>
        <v>47196.75</v>
      </c>
      <c r="F163" s="14">
        <f t="shared" si="11"/>
        <v>547</v>
      </c>
      <c r="G163" s="20">
        <f t="shared" si="11"/>
        <v>5470</v>
      </c>
      <c r="H163" s="14">
        <f t="shared" si="11"/>
        <v>197185</v>
      </c>
      <c r="I163" s="20">
        <f t="shared" si="11"/>
        <v>197185</v>
      </c>
      <c r="J163" s="14">
        <f t="shared" si="11"/>
        <v>2954</v>
      </c>
      <c r="K163" s="20">
        <f t="shared" si="11"/>
        <v>24825.03</v>
      </c>
      <c r="L163" s="21">
        <f t="shared" si="11"/>
        <v>501908</v>
      </c>
      <c r="M163" s="22">
        <f t="shared" si="11"/>
        <v>1780661.78</v>
      </c>
    </row>
    <row r="164" spans="1:13" ht="12.75" x14ac:dyDescent="0.15">
      <c r="A164" s="13">
        <v>43709</v>
      </c>
      <c r="B164" s="14">
        <f t="shared" si="11"/>
        <v>4831</v>
      </c>
      <c r="C164" s="20">
        <f t="shared" si="11"/>
        <v>4831</v>
      </c>
      <c r="D164" s="14">
        <f t="shared" si="11"/>
        <v>5524</v>
      </c>
      <c r="E164" s="20">
        <f t="shared" si="11"/>
        <v>46034.5</v>
      </c>
      <c r="F164" s="14">
        <f t="shared" si="11"/>
        <v>521</v>
      </c>
      <c r="G164" s="20">
        <f t="shared" si="11"/>
        <v>5210</v>
      </c>
      <c r="H164" s="14">
        <f t="shared" si="11"/>
        <v>191265</v>
      </c>
      <c r="I164" s="20">
        <f t="shared" si="11"/>
        <v>191265</v>
      </c>
      <c r="J164" s="14">
        <f t="shared" si="11"/>
        <v>2800</v>
      </c>
      <c r="K164" s="20">
        <f t="shared" si="11"/>
        <v>25244.910000000003</v>
      </c>
      <c r="L164" s="21">
        <f t="shared" si="11"/>
        <v>475852</v>
      </c>
      <c r="M164" s="22">
        <f t="shared" si="11"/>
        <v>1660865.1600000001</v>
      </c>
    </row>
    <row r="165" spans="1:13" ht="13.5" thickBot="1" x14ac:dyDescent="0.2">
      <c r="A165" s="16" t="s">
        <v>18</v>
      </c>
      <c r="B165" s="17">
        <f t="shared" ref="B165:M165" si="12">SUM(B153:B164)</f>
        <v>41891</v>
      </c>
      <c r="C165" s="23">
        <f t="shared" si="12"/>
        <v>41891</v>
      </c>
      <c r="D165" s="17">
        <f t="shared" si="12"/>
        <v>67996</v>
      </c>
      <c r="E165" s="23">
        <f t="shared" si="12"/>
        <v>562333</v>
      </c>
      <c r="F165" s="17">
        <f t="shared" si="12"/>
        <v>6465</v>
      </c>
      <c r="G165" s="23">
        <f t="shared" si="12"/>
        <v>64650</v>
      </c>
      <c r="H165" s="17">
        <f t="shared" si="12"/>
        <v>2316455</v>
      </c>
      <c r="I165" s="23">
        <f t="shared" si="12"/>
        <v>2316455</v>
      </c>
      <c r="J165" s="17">
        <f t="shared" si="12"/>
        <v>33953</v>
      </c>
      <c r="K165" s="23">
        <f t="shared" si="12"/>
        <v>246322.04000000004</v>
      </c>
      <c r="L165" s="24">
        <f t="shared" si="12"/>
        <v>5782367</v>
      </c>
      <c r="M165" s="25">
        <f t="shared" si="12"/>
        <v>20267802.540000003</v>
      </c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customHeight="1" x14ac:dyDescent="0.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x14ac:dyDescent="0.15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x14ac:dyDescent="0.15">
      <c r="A169" s="3" t="s">
        <v>33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</sheetData>
  <mergeCells count="12">
    <mergeCell ref="A167:M167"/>
    <mergeCell ref="A2:M2"/>
    <mergeCell ref="A3:M3"/>
    <mergeCell ref="A41:M41"/>
    <mergeCell ref="A44:M44"/>
    <mergeCell ref="A45:M45"/>
    <mergeCell ref="A83:M83"/>
    <mergeCell ref="A86:M86"/>
    <mergeCell ref="A87:M87"/>
    <mergeCell ref="A125:M125"/>
    <mergeCell ref="A128:M128"/>
    <mergeCell ref="A129:M129"/>
  </mergeCells>
  <printOptions horizontalCentered="1"/>
  <pageMargins left="0.25" right="0.25" top="0.66" bottom="0.23" header="0.28000000000000003" footer="0.25"/>
  <pageSetup scale="85" orientation="landscape" r:id="rId1"/>
  <headerFooter alignWithMargins="0"/>
  <rowBreaks count="3" manualBreakCount="3">
    <brk id="43" max="12" man="1"/>
    <brk id="85" max="12" man="1"/>
    <brk id="12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F39A-CF0D-458E-B143-43850D2B2D38}">
  <sheetPr codeName="Sheet2"/>
  <dimension ref="A1:M169"/>
  <sheetViews>
    <sheetView zoomScaleNormal="100" workbookViewId="0"/>
  </sheetViews>
  <sheetFormatPr defaultRowHeight="12" x14ac:dyDescent="0.15"/>
  <cols>
    <col min="1" max="1" width="8" customWidth="1"/>
    <col min="2" max="2" width="10.75" customWidth="1"/>
    <col min="3" max="3" width="14.125" customWidth="1"/>
    <col min="4" max="4" width="10.25" bestFit="1" customWidth="1"/>
    <col min="5" max="5" width="11.375" customWidth="1"/>
    <col min="6" max="6" width="9.75" customWidth="1"/>
    <col min="7" max="7" width="13.375" customWidth="1"/>
    <col min="8" max="8" width="9.75" customWidth="1"/>
    <col min="9" max="9" width="14.625" customWidth="1"/>
    <col min="10" max="10" width="8.75" bestFit="1" customWidth="1"/>
    <col min="11" max="11" width="13.375" customWidth="1"/>
    <col min="12" max="12" width="10.5" customWidth="1"/>
    <col min="13" max="13" width="14.75" customWidth="1"/>
    <col min="257" max="257" width="8" customWidth="1"/>
    <col min="258" max="258" width="10.75" customWidth="1"/>
    <col min="259" max="259" width="14.125" customWidth="1"/>
    <col min="260" max="260" width="10.25" bestFit="1" customWidth="1"/>
    <col min="261" max="261" width="11.375" customWidth="1"/>
    <col min="262" max="262" width="9.75" customWidth="1"/>
    <col min="263" max="263" width="13.375" customWidth="1"/>
    <col min="264" max="264" width="8.75" customWidth="1"/>
    <col min="265" max="265" width="12.875" customWidth="1"/>
    <col min="266" max="266" width="8.75" bestFit="1" customWidth="1"/>
    <col min="267" max="267" width="13.375" customWidth="1"/>
    <col min="268" max="268" width="10.5" customWidth="1"/>
    <col min="269" max="269" width="13.5" customWidth="1"/>
    <col min="513" max="513" width="8" customWidth="1"/>
    <col min="514" max="514" width="10.75" customWidth="1"/>
    <col min="515" max="515" width="14.125" customWidth="1"/>
    <col min="516" max="516" width="10.25" bestFit="1" customWidth="1"/>
    <col min="517" max="517" width="11.375" customWidth="1"/>
    <col min="518" max="518" width="9.75" customWidth="1"/>
    <col min="519" max="519" width="13.375" customWidth="1"/>
    <col min="520" max="520" width="8.75" customWidth="1"/>
    <col min="521" max="521" width="12.875" customWidth="1"/>
    <col min="522" max="522" width="8.75" bestFit="1" customWidth="1"/>
    <col min="523" max="523" width="13.375" customWidth="1"/>
    <col min="524" max="524" width="10.5" customWidth="1"/>
    <col min="525" max="525" width="13.5" customWidth="1"/>
    <col min="769" max="769" width="8" customWidth="1"/>
    <col min="770" max="770" width="10.75" customWidth="1"/>
    <col min="771" max="771" width="14.125" customWidth="1"/>
    <col min="772" max="772" width="10.25" bestFit="1" customWidth="1"/>
    <col min="773" max="773" width="11.375" customWidth="1"/>
    <col min="774" max="774" width="9.75" customWidth="1"/>
    <col min="775" max="775" width="13.375" customWidth="1"/>
    <col min="776" max="776" width="8.75" customWidth="1"/>
    <col min="777" max="777" width="12.875" customWidth="1"/>
    <col min="778" max="778" width="8.75" bestFit="1" customWidth="1"/>
    <col min="779" max="779" width="13.375" customWidth="1"/>
    <col min="780" max="780" width="10.5" customWidth="1"/>
    <col min="781" max="781" width="13.5" customWidth="1"/>
    <col min="1025" max="1025" width="8" customWidth="1"/>
    <col min="1026" max="1026" width="10.75" customWidth="1"/>
    <col min="1027" max="1027" width="14.125" customWidth="1"/>
    <col min="1028" max="1028" width="10.25" bestFit="1" customWidth="1"/>
    <col min="1029" max="1029" width="11.375" customWidth="1"/>
    <col min="1030" max="1030" width="9.75" customWidth="1"/>
    <col min="1031" max="1031" width="13.375" customWidth="1"/>
    <col min="1032" max="1032" width="8.75" customWidth="1"/>
    <col min="1033" max="1033" width="12.875" customWidth="1"/>
    <col min="1034" max="1034" width="8.75" bestFit="1" customWidth="1"/>
    <col min="1035" max="1035" width="13.375" customWidth="1"/>
    <col min="1036" max="1036" width="10.5" customWidth="1"/>
    <col min="1037" max="1037" width="13.5" customWidth="1"/>
    <col min="1281" max="1281" width="8" customWidth="1"/>
    <col min="1282" max="1282" width="10.75" customWidth="1"/>
    <col min="1283" max="1283" width="14.125" customWidth="1"/>
    <col min="1284" max="1284" width="10.25" bestFit="1" customWidth="1"/>
    <col min="1285" max="1285" width="11.375" customWidth="1"/>
    <col min="1286" max="1286" width="9.75" customWidth="1"/>
    <col min="1287" max="1287" width="13.375" customWidth="1"/>
    <col min="1288" max="1288" width="8.75" customWidth="1"/>
    <col min="1289" max="1289" width="12.875" customWidth="1"/>
    <col min="1290" max="1290" width="8.75" bestFit="1" customWidth="1"/>
    <col min="1291" max="1291" width="13.375" customWidth="1"/>
    <col min="1292" max="1292" width="10.5" customWidth="1"/>
    <col min="1293" max="1293" width="13.5" customWidth="1"/>
    <col min="1537" max="1537" width="8" customWidth="1"/>
    <col min="1538" max="1538" width="10.75" customWidth="1"/>
    <col min="1539" max="1539" width="14.125" customWidth="1"/>
    <col min="1540" max="1540" width="10.25" bestFit="1" customWidth="1"/>
    <col min="1541" max="1541" width="11.375" customWidth="1"/>
    <col min="1542" max="1542" width="9.75" customWidth="1"/>
    <col min="1543" max="1543" width="13.375" customWidth="1"/>
    <col min="1544" max="1544" width="8.75" customWidth="1"/>
    <col min="1545" max="1545" width="12.875" customWidth="1"/>
    <col min="1546" max="1546" width="8.75" bestFit="1" customWidth="1"/>
    <col min="1547" max="1547" width="13.375" customWidth="1"/>
    <col min="1548" max="1548" width="10.5" customWidth="1"/>
    <col min="1549" max="1549" width="13.5" customWidth="1"/>
    <col min="1793" max="1793" width="8" customWidth="1"/>
    <col min="1794" max="1794" width="10.75" customWidth="1"/>
    <col min="1795" max="1795" width="14.125" customWidth="1"/>
    <col min="1796" max="1796" width="10.25" bestFit="1" customWidth="1"/>
    <col min="1797" max="1797" width="11.375" customWidth="1"/>
    <col min="1798" max="1798" width="9.75" customWidth="1"/>
    <col min="1799" max="1799" width="13.375" customWidth="1"/>
    <col min="1800" max="1800" width="8.75" customWidth="1"/>
    <col min="1801" max="1801" width="12.875" customWidth="1"/>
    <col min="1802" max="1802" width="8.75" bestFit="1" customWidth="1"/>
    <col min="1803" max="1803" width="13.375" customWidth="1"/>
    <col min="1804" max="1804" width="10.5" customWidth="1"/>
    <col min="1805" max="1805" width="13.5" customWidth="1"/>
    <col min="2049" max="2049" width="8" customWidth="1"/>
    <col min="2050" max="2050" width="10.75" customWidth="1"/>
    <col min="2051" max="2051" width="14.125" customWidth="1"/>
    <col min="2052" max="2052" width="10.25" bestFit="1" customWidth="1"/>
    <col min="2053" max="2053" width="11.375" customWidth="1"/>
    <col min="2054" max="2054" width="9.75" customWidth="1"/>
    <col min="2055" max="2055" width="13.375" customWidth="1"/>
    <col min="2056" max="2056" width="8.75" customWidth="1"/>
    <col min="2057" max="2057" width="12.875" customWidth="1"/>
    <col min="2058" max="2058" width="8.75" bestFit="1" customWidth="1"/>
    <col min="2059" max="2059" width="13.375" customWidth="1"/>
    <col min="2060" max="2060" width="10.5" customWidth="1"/>
    <col min="2061" max="2061" width="13.5" customWidth="1"/>
    <col min="2305" max="2305" width="8" customWidth="1"/>
    <col min="2306" max="2306" width="10.75" customWidth="1"/>
    <col min="2307" max="2307" width="14.125" customWidth="1"/>
    <col min="2308" max="2308" width="10.25" bestFit="1" customWidth="1"/>
    <col min="2309" max="2309" width="11.375" customWidth="1"/>
    <col min="2310" max="2310" width="9.75" customWidth="1"/>
    <col min="2311" max="2311" width="13.375" customWidth="1"/>
    <col min="2312" max="2312" width="8.75" customWidth="1"/>
    <col min="2313" max="2313" width="12.875" customWidth="1"/>
    <col min="2314" max="2314" width="8.75" bestFit="1" customWidth="1"/>
    <col min="2315" max="2315" width="13.375" customWidth="1"/>
    <col min="2316" max="2316" width="10.5" customWidth="1"/>
    <col min="2317" max="2317" width="13.5" customWidth="1"/>
    <col min="2561" max="2561" width="8" customWidth="1"/>
    <col min="2562" max="2562" width="10.75" customWidth="1"/>
    <col min="2563" max="2563" width="14.125" customWidth="1"/>
    <col min="2564" max="2564" width="10.25" bestFit="1" customWidth="1"/>
    <col min="2565" max="2565" width="11.375" customWidth="1"/>
    <col min="2566" max="2566" width="9.75" customWidth="1"/>
    <col min="2567" max="2567" width="13.375" customWidth="1"/>
    <col min="2568" max="2568" width="8.75" customWidth="1"/>
    <col min="2569" max="2569" width="12.875" customWidth="1"/>
    <col min="2570" max="2570" width="8.75" bestFit="1" customWidth="1"/>
    <col min="2571" max="2571" width="13.375" customWidth="1"/>
    <col min="2572" max="2572" width="10.5" customWidth="1"/>
    <col min="2573" max="2573" width="13.5" customWidth="1"/>
    <col min="2817" max="2817" width="8" customWidth="1"/>
    <col min="2818" max="2818" width="10.75" customWidth="1"/>
    <col min="2819" max="2819" width="14.125" customWidth="1"/>
    <col min="2820" max="2820" width="10.25" bestFit="1" customWidth="1"/>
    <col min="2821" max="2821" width="11.375" customWidth="1"/>
    <col min="2822" max="2822" width="9.75" customWidth="1"/>
    <col min="2823" max="2823" width="13.375" customWidth="1"/>
    <col min="2824" max="2824" width="8.75" customWidth="1"/>
    <col min="2825" max="2825" width="12.875" customWidth="1"/>
    <col min="2826" max="2826" width="8.75" bestFit="1" customWidth="1"/>
    <col min="2827" max="2827" width="13.375" customWidth="1"/>
    <col min="2828" max="2828" width="10.5" customWidth="1"/>
    <col min="2829" max="2829" width="13.5" customWidth="1"/>
    <col min="3073" max="3073" width="8" customWidth="1"/>
    <col min="3074" max="3074" width="10.75" customWidth="1"/>
    <col min="3075" max="3075" width="14.125" customWidth="1"/>
    <col min="3076" max="3076" width="10.25" bestFit="1" customWidth="1"/>
    <col min="3077" max="3077" width="11.375" customWidth="1"/>
    <col min="3078" max="3078" width="9.75" customWidth="1"/>
    <col min="3079" max="3079" width="13.375" customWidth="1"/>
    <col min="3080" max="3080" width="8.75" customWidth="1"/>
    <col min="3081" max="3081" width="12.875" customWidth="1"/>
    <col min="3082" max="3082" width="8.75" bestFit="1" customWidth="1"/>
    <col min="3083" max="3083" width="13.375" customWidth="1"/>
    <col min="3084" max="3084" width="10.5" customWidth="1"/>
    <col min="3085" max="3085" width="13.5" customWidth="1"/>
    <col min="3329" max="3329" width="8" customWidth="1"/>
    <col min="3330" max="3330" width="10.75" customWidth="1"/>
    <col min="3331" max="3331" width="14.125" customWidth="1"/>
    <col min="3332" max="3332" width="10.25" bestFit="1" customWidth="1"/>
    <col min="3333" max="3333" width="11.375" customWidth="1"/>
    <col min="3334" max="3334" width="9.75" customWidth="1"/>
    <col min="3335" max="3335" width="13.375" customWidth="1"/>
    <col min="3336" max="3336" width="8.75" customWidth="1"/>
    <col min="3337" max="3337" width="12.875" customWidth="1"/>
    <col min="3338" max="3338" width="8.75" bestFit="1" customWidth="1"/>
    <col min="3339" max="3339" width="13.375" customWidth="1"/>
    <col min="3340" max="3340" width="10.5" customWidth="1"/>
    <col min="3341" max="3341" width="13.5" customWidth="1"/>
    <col min="3585" max="3585" width="8" customWidth="1"/>
    <col min="3586" max="3586" width="10.75" customWidth="1"/>
    <col min="3587" max="3587" width="14.125" customWidth="1"/>
    <col min="3588" max="3588" width="10.25" bestFit="1" customWidth="1"/>
    <col min="3589" max="3589" width="11.375" customWidth="1"/>
    <col min="3590" max="3590" width="9.75" customWidth="1"/>
    <col min="3591" max="3591" width="13.375" customWidth="1"/>
    <col min="3592" max="3592" width="8.75" customWidth="1"/>
    <col min="3593" max="3593" width="12.875" customWidth="1"/>
    <col min="3594" max="3594" width="8.75" bestFit="1" customWidth="1"/>
    <col min="3595" max="3595" width="13.375" customWidth="1"/>
    <col min="3596" max="3596" width="10.5" customWidth="1"/>
    <col min="3597" max="3597" width="13.5" customWidth="1"/>
    <col min="3841" max="3841" width="8" customWidth="1"/>
    <col min="3842" max="3842" width="10.75" customWidth="1"/>
    <col min="3843" max="3843" width="14.125" customWidth="1"/>
    <col min="3844" max="3844" width="10.25" bestFit="1" customWidth="1"/>
    <col min="3845" max="3845" width="11.375" customWidth="1"/>
    <col min="3846" max="3846" width="9.75" customWidth="1"/>
    <col min="3847" max="3847" width="13.375" customWidth="1"/>
    <col min="3848" max="3848" width="8.75" customWidth="1"/>
    <col min="3849" max="3849" width="12.875" customWidth="1"/>
    <col min="3850" max="3850" width="8.75" bestFit="1" customWidth="1"/>
    <col min="3851" max="3851" width="13.375" customWidth="1"/>
    <col min="3852" max="3852" width="10.5" customWidth="1"/>
    <col min="3853" max="3853" width="13.5" customWidth="1"/>
    <col min="4097" max="4097" width="8" customWidth="1"/>
    <col min="4098" max="4098" width="10.75" customWidth="1"/>
    <col min="4099" max="4099" width="14.125" customWidth="1"/>
    <col min="4100" max="4100" width="10.25" bestFit="1" customWidth="1"/>
    <col min="4101" max="4101" width="11.375" customWidth="1"/>
    <col min="4102" max="4102" width="9.75" customWidth="1"/>
    <col min="4103" max="4103" width="13.375" customWidth="1"/>
    <col min="4104" max="4104" width="8.75" customWidth="1"/>
    <col min="4105" max="4105" width="12.875" customWidth="1"/>
    <col min="4106" max="4106" width="8.75" bestFit="1" customWidth="1"/>
    <col min="4107" max="4107" width="13.375" customWidth="1"/>
    <col min="4108" max="4108" width="10.5" customWidth="1"/>
    <col min="4109" max="4109" width="13.5" customWidth="1"/>
    <col min="4353" max="4353" width="8" customWidth="1"/>
    <col min="4354" max="4354" width="10.75" customWidth="1"/>
    <col min="4355" max="4355" width="14.125" customWidth="1"/>
    <col min="4356" max="4356" width="10.25" bestFit="1" customWidth="1"/>
    <col min="4357" max="4357" width="11.375" customWidth="1"/>
    <col min="4358" max="4358" width="9.75" customWidth="1"/>
    <col min="4359" max="4359" width="13.375" customWidth="1"/>
    <col min="4360" max="4360" width="8.75" customWidth="1"/>
    <col min="4361" max="4361" width="12.875" customWidth="1"/>
    <col min="4362" max="4362" width="8.75" bestFit="1" customWidth="1"/>
    <col min="4363" max="4363" width="13.375" customWidth="1"/>
    <col min="4364" max="4364" width="10.5" customWidth="1"/>
    <col min="4365" max="4365" width="13.5" customWidth="1"/>
    <col min="4609" max="4609" width="8" customWidth="1"/>
    <col min="4610" max="4610" width="10.75" customWidth="1"/>
    <col min="4611" max="4611" width="14.125" customWidth="1"/>
    <col min="4612" max="4612" width="10.25" bestFit="1" customWidth="1"/>
    <col min="4613" max="4613" width="11.375" customWidth="1"/>
    <col min="4614" max="4614" width="9.75" customWidth="1"/>
    <col min="4615" max="4615" width="13.375" customWidth="1"/>
    <col min="4616" max="4616" width="8.75" customWidth="1"/>
    <col min="4617" max="4617" width="12.875" customWidth="1"/>
    <col min="4618" max="4618" width="8.75" bestFit="1" customWidth="1"/>
    <col min="4619" max="4619" width="13.375" customWidth="1"/>
    <col min="4620" max="4620" width="10.5" customWidth="1"/>
    <col min="4621" max="4621" width="13.5" customWidth="1"/>
    <col min="4865" max="4865" width="8" customWidth="1"/>
    <col min="4866" max="4866" width="10.75" customWidth="1"/>
    <col min="4867" max="4867" width="14.125" customWidth="1"/>
    <col min="4868" max="4868" width="10.25" bestFit="1" customWidth="1"/>
    <col min="4869" max="4869" width="11.375" customWidth="1"/>
    <col min="4870" max="4870" width="9.75" customWidth="1"/>
    <col min="4871" max="4871" width="13.375" customWidth="1"/>
    <col min="4872" max="4872" width="8.75" customWidth="1"/>
    <col min="4873" max="4873" width="12.875" customWidth="1"/>
    <col min="4874" max="4874" width="8.75" bestFit="1" customWidth="1"/>
    <col min="4875" max="4875" width="13.375" customWidth="1"/>
    <col min="4876" max="4876" width="10.5" customWidth="1"/>
    <col min="4877" max="4877" width="13.5" customWidth="1"/>
    <col min="5121" max="5121" width="8" customWidth="1"/>
    <col min="5122" max="5122" width="10.75" customWidth="1"/>
    <col min="5123" max="5123" width="14.125" customWidth="1"/>
    <col min="5124" max="5124" width="10.25" bestFit="1" customWidth="1"/>
    <col min="5125" max="5125" width="11.375" customWidth="1"/>
    <col min="5126" max="5126" width="9.75" customWidth="1"/>
    <col min="5127" max="5127" width="13.375" customWidth="1"/>
    <col min="5128" max="5128" width="8.75" customWidth="1"/>
    <col min="5129" max="5129" width="12.875" customWidth="1"/>
    <col min="5130" max="5130" width="8.75" bestFit="1" customWidth="1"/>
    <col min="5131" max="5131" width="13.375" customWidth="1"/>
    <col min="5132" max="5132" width="10.5" customWidth="1"/>
    <col min="5133" max="5133" width="13.5" customWidth="1"/>
    <col min="5377" max="5377" width="8" customWidth="1"/>
    <col min="5378" max="5378" width="10.75" customWidth="1"/>
    <col min="5379" max="5379" width="14.125" customWidth="1"/>
    <col min="5380" max="5380" width="10.25" bestFit="1" customWidth="1"/>
    <col min="5381" max="5381" width="11.375" customWidth="1"/>
    <col min="5382" max="5382" width="9.75" customWidth="1"/>
    <col min="5383" max="5383" width="13.375" customWidth="1"/>
    <col min="5384" max="5384" width="8.75" customWidth="1"/>
    <col min="5385" max="5385" width="12.875" customWidth="1"/>
    <col min="5386" max="5386" width="8.75" bestFit="1" customWidth="1"/>
    <col min="5387" max="5387" width="13.375" customWidth="1"/>
    <col min="5388" max="5388" width="10.5" customWidth="1"/>
    <col min="5389" max="5389" width="13.5" customWidth="1"/>
    <col min="5633" max="5633" width="8" customWidth="1"/>
    <col min="5634" max="5634" width="10.75" customWidth="1"/>
    <col min="5635" max="5635" width="14.125" customWidth="1"/>
    <col min="5636" max="5636" width="10.25" bestFit="1" customWidth="1"/>
    <col min="5637" max="5637" width="11.375" customWidth="1"/>
    <col min="5638" max="5638" width="9.75" customWidth="1"/>
    <col min="5639" max="5639" width="13.375" customWidth="1"/>
    <col min="5640" max="5640" width="8.75" customWidth="1"/>
    <col min="5641" max="5641" width="12.875" customWidth="1"/>
    <col min="5642" max="5642" width="8.75" bestFit="1" customWidth="1"/>
    <col min="5643" max="5643" width="13.375" customWidth="1"/>
    <col min="5644" max="5644" width="10.5" customWidth="1"/>
    <col min="5645" max="5645" width="13.5" customWidth="1"/>
    <col min="5889" max="5889" width="8" customWidth="1"/>
    <col min="5890" max="5890" width="10.75" customWidth="1"/>
    <col min="5891" max="5891" width="14.125" customWidth="1"/>
    <col min="5892" max="5892" width="10.25" bestFit="1" customWidth="1"/>
    <col min="5893" max="5893" width="11.375" customWidth="1"/>
    <col min="5894" max="5894" width="9.75" customWidth="1"/>
    <col min="5895" max="5895" width="13.375" customWidth="1"/>
    <col min="5896" max="5896" width="8.75" customWidth="1"/>
    <col min="5897" max="5897" width="12.875" customWidth="1"/>
    <col min="5898" max="5898" width="8.75" bestFit="1" customWidth="1"/>
    <col min="5899" max="5899" width="13.375" customWidth="1"/>
    <col min="5900" max="5900" width="10.5" customWidth="1"/>
    <col min="5901" max="5901" width="13.5" customWidth="1"/>
    <col min="6145" max="6145" width="8" customWidth="1"/>
    <col min="6146" max="6146" width="10.75" customWidth="1"/>
    <col min="6147" max="6147" width="14.125" customWidth="1"/>
    <col min="6148" max="6148" width="10.25" bestFit="1" customWidth="1"/>
    <col min="6149" max="6149" width="11.375" customWidth="1"/>
    <col min="6150" max="6150" width="9.75" customWidth="1"/>
    <col min="6151" max="6151" width="13.375" customWidth="1"/>
    <col min="6152" max="6152" width="8.75" customWidth="1"/>
    <col min="6153" max="6153" width="12.875" customWidth="1"/>
    <col min="6154" max="6154" width="8.75" bestFit="1" customWidth="1"/>
    <col min="6155" max="6155" width="13.375" customWidth="1"/>
    <col min="6156" max="6156" width="10.5" customWidth="1"/>
    <col min="6157" max="6157" width="13.5" customWidth="1"/>
    <col min="6401" max="6401" width="8" customWidth="1"/>
    <col min="6402" max="6402" width="10.75" customWidth="1"/>
    <col min="6403" max="6403" width="14.125" customWidth="1"/>
    <col min="6404" max="6404" width="10.25" bestFit="1" customWidth="1"/>
    <col min="6405" max="6405" width="11.375" customWidth="1"/>
    <col min="6406" max="6406" width="9.75" customWidth="1"/>
    <col min="6407" max="6407" width="13.375" customWidth="1"/>
    <col min="6408" max="6408" width="8.75" customWidth="1"/>
    <col min="6409" max="6409" width="12.875" customWidth="1"/>
    <col min="6410" max="6410" width="8.75" bestFit="1" customWidth="1"/>
    <col min="6411" max="6411" width="13.375" customWidth="1"/>
    <col min="6412" max="6412" width="10.5" customWidth="1"/>
    <col min="6413" max="6413" width="13.5" customWidth="1"/>
    <col min="6657" max="6657" width="8" customWidth="1"/>
    <col min="6658" max="6658" width="10.75" customWidth="1"/>
    <col min="6659" max="6659" width="14.125" customWidth="1"/>
    <col min="6660" max="6660" width="10.25" bestFit="1" customWidth="1"/>
    <col min="6661" max="6661" width="11.375" customWidth="1"/>
    <col min="6662" max="6662" width="9.75" customWidth="1"/>
    <col min="6663" max="6663" width="13.375" customWidth="1"/>
    <col min="6664" max="6664" width="8.75" customWidth="1"/>
    <col min="6665" max="6665" width="12.875" customWidth="1"/>
    <col min="6666" max="6666" width="8.75" bestFit="1" customWidth="1"/>
    <col min="6667" max="6667" width="13.375" customWidth="1"/>
    <col min="6668" max="6668" width="10.5" customWidth="1"/>
    <col min="6669" max="6669" width="13.5" customWidth="1"/>
    <col min="6913" max="6913" width="8" customWidth="1"/>
    <col min="6914" max="6914" width="10.75" customWidth="1"/>
    <col min="6915" max="6915" width="14.125" customWidth="1"/>
    <col min="6916" max="6916" width="10.25" bestFit="1" customWidth="1"/>
    <col min="6917" max="6917" width="11.375" customWidth="1"/>
    <col min="6918" max="6918" width="9.75" customWidth="1"/>
    <col min="6919" max="6919" width="13.375" customWidth="1"/>
    <col min="6920" max="6920" width="8.75" customWidth="1"/>
    <col min="6921" max="6921" width="12.875" customWidth="1"/>
    <col min="6922" max="6922" width="8.75" bestFit="1" customWidth="1"/>
    <col min="6923" max="6923" width="13.375" customWidth="1"/>
    <col min="6924" max="6924" width="10.5" customWidth="1"/>
    <col min="6925" max="6925" width="13.5" customWidth="1"/>
    <col min="7169" max="7169" width="8" customWidth="1"/>
    <col min="7170" max="7170" width="10.75" customWidth="1"/>
    <col min="7171" max="7171" width="14.125" customWidth="1"/>
    <col min="7172" max="7172" width="10.25" bestFit="1" customWidth="1"/>
    <col min="7173" max="7173" width="11.375" customWidth="1"/>
    <col min="7174" max="7174" width="9.75" customWidth="1"/>
    <col min="7175" max="7175" width="13.375" customWidth="1"/>
    <col min="7176" max="7176" width="8.75" customWidth="1"/>
    <col min="7177" max="7177" width="12.875" customWidth="1"/>
    <col min="7178" max="7178" width="8.75" bestFit="1" customWidth="1"/>
    <col min="7179" max="7179" width="13.375" customWidth="1"/>
    <col min="7180" max="7180" width="10.5" customWidth="1"/>
    <col min="7181" max="7181" width="13.5" customWidth="1"/>
    <col min="7425" max="7425" width="8" customWidth="1"/>
    <col min="7426" max="7426" width="10.75" customWidth="1"/>
    <col min="7427" max="7427" width="14.125" customWidth="1"/>
    <col min="7428" max="7428" width="10.25" bestFit="1" customWidth="1"/>
    <col min="7429" max="7429" width="11.375" customWidth="1"/>
    <col min="7430" max="7430" width="9.75" customWidth="1"/>
    <col min="7431" max="7431" width="13.375" customWidth="1"/>
    <col min="7432" max="7432" width="8.75" customWidth="1"/>
    <col min="7433" max="7433" width="12.875" customWidth="1"/>
    <col min="7434" max="7434" width="8.75" bestFit="1" customWidth="1"/>
    <col min="7435" max="7435" width="13.375" customWidth="1"/>
    <col min="7436" max="7436" width="10.5" customWidth="1"/>
    <col min="7437" max="7437" width="13.5" customWidth="1"/>
    <col min="7681" max="7681" width="8" customWidth="1"/>
    <col min="7682" max="7682" width="10.75" customWidth="1"/>
    <col min="7683" max="7683" width="14.125" customWidth="1"/>
    <col min="7684" max="7684" width="10.25" bestFit="1" customWidth="1"/>
    <col min="7685" max="7685" width="11.375" customWidth="1"/>
    <col min="7686" max="7686" width="9.75" customWidth="1"/>
    <col min="7687" max="7687" width="13.375" customWidth="1"/>
    <col min="7688" max="7688" width="8.75" customWidth="1"/>
    <col min="7689" max="7689" width="12.875" customWidth="1"/>
    <col min="7690" max="7690" width="8.75" bestFit="1" customWidth="1"/>
    <col min="7691" max="7691" width="13.375" customWidth="1"/>
    <col min="7692" max="7692" width="10.5" customWidth="1"/>
    <col min="7693" max="7693" width="13.5" customWidth="1"/>
    <col min="7937" max="7937" width="8" customWidth="1"/>
    <col min="7938" max="7938" width="10.75" customWidth="1"/>
    <col min="7939" max="7939" width="14.125" customWidth="1"/>
    <col min="7940" max="7940" width="10.25" bestFit="1" customWidth="1"/>
    <col min="7941" max="7941" width="11.375" customWidth="1"/>
    <col min="7942" max="7942" width="9.75" customWidth="1"/>
    <col min="7943" max="7943" width="13.375" customWidth="1"/>
    <col min="7944" max="7944" width="8.75" customWidth="1"/>
    <col min="7945" max="7945" width="12.875" customWidth="1"/>
    <col min="7946" max="7946" width="8.75" bestFit="1" customWidth="1"/>
    <col min="7947" max="7947" width="13.375" customWidth="1"/>
    <col min="7948" max="7948" width="10.5" customWidth="1"/>
    <col min="7949" max="7949" width="13.5" customWidth="1"/>
    <col min="8193" max="8193" width="8" customWidth="1"/>
    <col min="8194" max="8194" width="10.75" customWidth="1"/>
    <col min="8195" max="8195" width="14.125" customWidth="1"/>
    <col min="8196" max="8196" width="10.25" bestFit="1" customWidth="1"/>
    <col min="8197" max="8197" width="11.375" customWidth="1"/>
    <col min="8198" max="8198" width="9.75" customWidth="1"/>
    <col min="8199" max="8199" width="13.375" customWidth="1"/>
    <col min="8200" max="8200" width="8.75" customWidth="1"/>
    <col min="8201" max="8201" width="12.875" customWidth="1"/>
    <col min="8202" max="8202" width="8.75" bestFit="1" customWidth="1"/>
    <col min="8203" max="8203" width="13.375" customWidth="1"/>
    <col min="8204" max="8204" width="10.5" customWidth="1"/>
    <col min="8205" max="8205" width="13.5" customWidth="1"/>
    <col min="8449" max="8449" width="8" customWidth="1"/>
    <col min="8450" max="8450" width="10.75" customWidth="1"/>
    <col min="8451" max="8451" width="14.125" customWidth="1"/>
    <col min="8452" max="8452" width="10.25" bestFit="1" customWidth="1"/>
    <col min="8453" max="8453" width="11.375" customWidth="1"/>
    <col min="8454" max="8454" width="9.75" customWidth="1"/>
    <col min="8455" max="8455" width="13.375" customWidth="1"/>
    <col min="8456" max="8456" width="8.75" customWidth="1"/>
    <col min="8457" max="8457" width="12.875" customWidth="1"/>
    <col min="8458" max="8458" width="8.75" bestFit="1" customWidth="1"/>
    <col min="8459" max="8459" width="13.375" customWidth="1"/>
    <col min="8460" max="8460" width="10.5" customWidth="1"/>
    <col min="8461" max="8461" width="13.5" customWidth="1"/>
    <col min="8705" max="8705" width="8" customWidth="1"/>
    <col min="8706" max="8706" width="10.75" customWidth="1"/>
    <col min="8707" max="8707" width="14.125" customWidth="1"/>
    <col min="8708" max="8708" width="10.25" bestFit="1" customWidth="1"/>
    <col min="8709" max="8709" width="11.375" customWidth="1"/>
    <col min="8710" max="8710" width="9.75" customWidth="1"/>
    <col min="8711" max="8711" width="13.375" customWidth="1"/>
    <col min="8712" max="8712" width="8.75" customWidth="1"/>
    <col min="8713" max="8713" width="12.875" customWidth="1"/>
    <col min="8714" max="8714" width="8.75" bestFit="1" customWidth="1"/>
    <col min="8715" max="8715" width="13.375" customWidth="1"/>
    <col min="8716" max="8716" width="10.5" customWidth="1"/>
    <col min="8717" max="8717" width="13.5" customWidth="1"/>
    <col min="8961" max="8961" width="8" customWidth="1"/>
    <col min="8962" max="8962" width="10.75" customWidth="1"/>
    <col min="8963" max="8963" width="14.125" customWidth="1"/>
    <col min="8964" max="8964" width="10.25" bestFit="1" customWidth="1"/>
    <col min="8965" max="8965" width="11.375" customWidth="1"/>
    <col min="8966" max="8966" width="9.75" customWidth="1"/>
    <col min="8967" max="8967" width="13.375" customWidth="1"/>
    <col min="8968" max="8968" width="8.75" customWidth="1"/>
    <col min="8969" max="8969" width="12.875" customWidth="1"/>
    <col min="8970" max="8970" width="8.75" bestFit="1" customWidth="1"/>
    <col min="8971" max="8971" width="13.375" customWidth="1"/>
    <col min="8972" max="8972" width="10.5" customWidth="1"/>
    <col min="8973" max="8973" width="13.5" customWidth="1"/>
    <col min="9217" max="9217" width="8" customWidth="1"/>
    <col min="9218" max="9218" width="10.75" customWidth="1"/>
    <col min="9219" max="9219" width="14.125" customWidth="1"/>
    <col min="9220" max="9220" width="10.25" bestFit="1" customWidth="1"/>
    <col min="9221" max="9221" width="11.375" customWidth="1"/>
    <col min="9222" max="9222" width="9.75" customWidth="1"/>
    <col min="9223" max="9223" width="13.375" customWidth="1"/>
    <col min="9224" max="9224" width="8.75" customWidth="1"/>
    <col min="9225" max="9225" width="12.875" customWidth="1"/>
    <col min="9226" max="9226" width="8.75" bestFit="1" customWidth="1"/>
    <col min="9227" max="9227" width="13.375" customWidth="1"/>
    <col min="9228" max="9228" width="10.5" customWidth="1"/>
    <col min="9229" max="9229" width="13.5" customWidth="1"/>
    <col min="9473" max="9473" width="8" customWidth="1"/>
    <col min="9474" max="9474" width="10.75" customWidth="1"/>
    <col min="9475" max="9475" width="14.125" customWidth="1"/>
    <col min="9476" max="9476" width="10.25" bestFit="1" customWidth="1"/>
    <col min="9477" max="9477" width="11.375" customWidth="1"/>
    <col min="9478" max="9478" width="9.75" customWidth="1"/>
    <col min="9479" max="9479" width="13.375" customWidth="1"/>
    <col min="9480" max="9480" width="8.75" customWidth="1"/>
    <col min="9481" max="9481" width="12.875" customWidth="1"/>
    <col min="9482" max="9482" width="8.75" bestFit="1" customWidth="1"/>
    <col min="9483" max="9483" width="13.375" customWidth="1"/>
    <col min="9484" max="9484" width="10.5" customWidth="1"/>
    <col min="9485" max="9485" width="13.5" customWidth="1"/>
    <col min="9729" max="9729" width="8" customWidth="1"/>
    <col min="9730" max="9730" width="10.75" customWidth="1"/>
    <col min="9731" max="9731" width="14.125" customWidth="1"/>
    <col min="9732" max="9732" width="10.25" bestFit="1" customWidth="1"/>
    <col min="9733" max="9733" width="11.375" customWidth="1"/>
    <col min="9734" max="9734" width="9.75" customWidth="1"/>
    <col min="9735" max="9735" width="13.375" customWidth="1"/>
    <col min="9736" max="9736" width="8.75" customWidth="1"/>
    <col min="9737" max="9737" width="12.875" customWidth="1"/>
    <col min="9738" max="9738" width="8.75" bestFit="1" customWidth="1"/>
    <col min="9739" max="9739" width="13.375" customWidth="1"/>
    <col min="9740" max="9740" width="10.5" customWidth="1"/>
    <col min="9741" max="9741" width="13.5" customWidth="1"/>
    <col min="9985" max="9985" width="8" customWidth="1"/>
    <col min="9986" max="9986" width="10.75" customWidth="1"/>
    <col min="9987" max="9987" width="14.125" customWidth="1"/>
    <col min="9988" max="9988" width="10.25" bestFit="1" customWidth="1"/>
    <col min="9989" max="9989" width="11.375" customWidth="1"/>
    <col min="9990" max="9990" width="9.75" customWidth="1"/>
    <col min="9991" max="9991" width="13.375" customWidth="1"/>
    <col min="9992" max="9992" width="8.75" customWidth="1"/>
    <col min="9993" max="9993" width="12.875" customWidth="1"/>
    <col min="9994" max="9994" width="8.75" bestFit="1" customWidth="1"/>
    <col min="9995" max="9995" width="13.375" customWidth="1"/>
    <col min="9996" max="9996" width="10.5" customWidth="1"/>
    <col min="9997" max="9997" width="13.5" customWidth="1"/>
    <col min="10241" max="10241" width="8" customWidth="1"/>
    <col min="10242" max="10242" width="10.75" customWidth="1"/>
    <col min="10243" max="10243" width="14.125" customWidth="1"/>
    <col min="10244" max="10244" width="10.25" bestFit="1" customWidth="1"/>
    <col min="10245" max="10245" width="11.375" customWidth="1"/>
    <col min="10246" max="10246" width="9.75" customWidth="1"/>
    <col min="10247" max="10247" width="13.375" customWidth="1"/>
    <col min="10248" max="10248" width="8.75" customWidth="1"/>
    <col min="10249" max="10249" width="12.875" customWidth="1"/>
    <col min="10250" max="10250" width="8.75" bestFit="1" customWidth="1"/>
    <col min="10251" max="10251" width="13.375" customWidth="1"/>
    <col min="10252" max="10252" width="10.5" customWidth="1"/>
    <col min="10253" max="10253" width="13.5" customWidth="1"/>
    <col min="10497" max="10497" width="8" customWidth="1"/>
    <col min="10498" max="10498" width="10.75" customWidth="1"/>
    <col min="10499" max="10499" width="14.125" customWidth="1"/>
    <col min="10500" max="10500" width="10.25" bestFit="1" customWidth="1"/>
    <col min="10501" max="10501" width="11.375" customWidth="1"/>
    <col min="10502" max="10502" width="9.75" customWidth="1"/>
    <col min="10503" max="10503" width="13.375" customWidth="1"/>
    <col min="10504" max="10504" width="8.75" customWidth="1"/>
    <col min="10505" max="10505" width="12.875" customWidth="1"/>
    <col min="10506" max="10506" width="8.75" bestFit="1" customWidth="1"/>
    <col min="10507" max="10507" width="13.375" customWidth="1"/>
    <col min="10508" max="10508" width="10.5" customWidth="1"/>
    <col min="10509" max="10509" width="13.5" customWidth="1"/>
    <col min="10753" max="10753" width="8" customWidth="1"/>
    <col min="10754" max="10754" width="10.75" customWidth="1"/>
    <col min="10755" max="10755" width="14.125" customWidth="1"/>
    <col min="10756" max="10756" width="10.25" bestFit="1" customWidth="1"/>
    <col min="10757" max="10757" width="11.375" customWidth="1"/>
    <col min="10758" max="10758" width="9.75" customWidth="1"/>
    <col min="10759" max="10759" width="13.375" customWidth="1"/>
    <col min="10760" max="10760" width="8.75" customWidth="1"/>
    <col min="10761" max="10761" width="12.875" customWidth="1"/>
    <col min="10762" max="10762" width="8.75" bestFit="1" customWidth="1"/>
    <col min="10763" max="10763" width="13.375" customWidth="1"/>
    <col min="10764" max="10764" width="10.5" customWidth="1"/>
    <col min="10765" max="10765" width="13.5" customWidth="1"/>
    <col min="11009" max="11009" width="8" customWidth="1"/>
    <col min="11010" max="11010" width="10.75" customWidth="1"/>
    <col min="11011" max="11011" width="14.125" customWidth="1"/>
    <col min="11012" max="11012" width="10.25" bestFit="1" customWidth="1"/>
    <col min="11013" max="11013" width="11.375" customWidth="1"/>
    <col min="11014" max="11014" width="9.75" customWidth="1"/>
    <col min="11015" max="11015" width="13.375" customWidth="1"/>
    <col min="11016" max="11016" width="8.75" customWidth="1"/>
    <col min="11017" max="11017" width="12.875" customWidth="1"/>
    <col min="11018" max="11018" width="8.75" bestFit="1" customWidth="1"/>
    <col min="11019" max="11019" width="13.375" customWidth="1"/>
    <col min="11020" max="11020" width="10.5" customWidth="1"/>
    <col min="11021" max="11021" width="13.5" customWidth="1"/>
    <col min="11265" max="11265" width="8" customWidth="1"/>
    <col min="11266" max="11266" width="10.75" customWidth="1"/>
    <col min="11267" max="11267" width="14.125" customWidth="1"/>
    <col min="11268" max="11268" width="10.25" bestFit="1" customWidth="1"/>
    <col min="11269" max="11269" width="11.375" customWidth="1"/>
    <col min="11270" max="11270" width="9.75" customWidth="1"/>
    <col min="11271" max="11271" width="13.375" customWidth="1"/>
    <col min="11272" max="11272" width="8.75" customWidth="1"/>
    <col min="11273" max="11273" width="12.875" customWidth="1"/>
    <col min="11274" max="11274" width="8.75" bestFit="1" customWidth="1"/>
    <col min="11275" max="11275" width="13.375" customWidth="1"/>
    <col min="11276" max="11276" width="10.5" customWidth="1"/>
    <col min="11277" max="11277" width="13.5" customWidth="1"/>
    <col min="11521" max="11521" width="8" customWidth="1"/>
    <col min="11522" max="11522" width="10.75" customWidth="1"/>
    <col min="11523" max="11523" width="14.125" customWidth="1"/>
    <col min="11524" max="11524" width="10.25" bestFit="1" customWidth="1"/>
    <col min="11525" max="11525" width="11.375" customWidth="1"/>
    <col min="11526" max="11526" width="9.75" customWidth="1"/>
    <col min="11527" max="11527" width="13.375" customWidth="1"/>
    <col min="11528" max="11528" width="8.75" customWidth="1"/>
    <col min="11529" max="11529" width="12.875" customWidth="1"/>
    <col min="11530" max="11530" width="8.75" bestFit="1" customWidth="1"/>
    <col min="11531" max="11531" width="13.375" customWidth="1"/>
    <col min="11532" max="11532" width="10.5" customWidth="1"/>
    <col min="11533" max="11533" width="13.5" customWidth="1"/>
    <col min="11777" max="11777" width="8" customWidth="1"/>
    <col min="11778" max="11778" width="10.75" customWidth="1"/>
    <col min="11779" max="11779" width="14.125" customWidth="1"/>
    <col min="11780" max="11780" width="10.25" bestFit="1" customWidth="1"/>
    <col min="11781" max="11781" width="11.375" customWidth="1"/>
    <col min="11782" max="11782" width="9.75" customWidth="1"/>
    <col min="11783" max="11783" width="13.375" customWidth="1"/>
    <col min="11784" max="11784" width="8.75" customWidth="1"/>
    <col min="11785" max="11785" width="12.875" customWidth="1"/>
    <col min="11786" max="11786" width="8.75" bestFit="1" customWidth="1"/>
    <col min="11787" max="11787" width="13.375" customWidth="1"/>
    <col min="11788" max="11788" width="10.5" customWidth="1"/>
    <col min="11789" max="11789" width="13.5" customWidth="1"/>
    <col min="12033" max="12033" width="8" customWidth="1"/>
    <col min="12034" max="12034" width="10.75" customWidth="1"/>
    <col min="12035" max="12035" width="14.125" customWidth="1"/>
    <col min="12036" max="12036" width="10.25" bestFit="1" customWidth="1"/>
    <col min="12037" max="12037" width="11.375" customWidth="1"/>
    <col min="12038" max="12038" width="9.75" customWidth="1"/>
    <col min="12039" max="12039" width="13.375" customWidth="1"/>
    <col min="12040" max="12040" width="8.75" customWidth="1"/>
    <col min="12041" max="12041" width="12.875" customWidth="1"/>
    <col min="12042" max="12042" width="8.75" bestFit="1" customWidth="1"/>
    <col min="12043" max="12043" width="13.375" customWidth="1"/>
    <col min="12044" max="12044" width="10.5" customWidth="1"/>
    <col min="12045" max="12045" width="13.5" customWidth="1"/>
    <col min="12289" max="12289" width="8" customWidth="1"/>
    <col min="12290" max="12290" width="10.75" customWidth="1"/>
    <col min="12291" max="12291" width="14.125" customWidth="1"/>
    <col min="12292" max="12292" width="10.25" bestFit="1" customWidth="1"/>
    <col min="12293" max="12293" width="11.375" customWidth="1"/>
    <col min="12294" max="12294" width="9.75" customWidth="1"/>
    <col min="12295" max="12295" width="13.375" customWidth="1"/>
    <col min="12296" max="12296" width="8.75" customWidth="1"/>
    <col min="12297" max="12297" width="12.875" customWidth="1"/>
    <col min="12298" max="12298" width="8.75" bestFit="1" customWidth="1"/>
    <col min="12299" max="12299" width="13.375" customWidth="1"/>
    <col min="12300" max="12300" width="10.5" customWidth="1"/>
    <col min="12301" max="12301" width="13.5" customWidth="1"/>
    <col min="12545" max="12545" width="8" customWidth="1"/>
    <col min="12546" max="12546" width="10.75" customWidth="1"/>
    <col min="12547" max="12547" width="14.125" customWidth="1"/>
    <col min="12548" max="12548" width="10.25" bestFit="1" customWidth="1"/>
    <col min="12549" max="12549" width="11.375" customWidth="1"/>
    <col min="12550" max="12550" width="9.75" customWidth="1"/>
    <col min="12551" max="12551" width="13.375" customWidth="1"/>
    <col min="12552" max="12552" width="8.75" customWidth="1"/>
    <col min="12553" max="12553" width="12.875" customWidth="1"/>
    <col min="12554" max="12554" width="8.75" bestFit="1" customWidth="1"/>
    <col min="12555" max="12555" width="13.375" customWidth="1"/>
    <col min="12556" max="12556" width="10.5" customWidth="1"/>
    <col min="12557" max="12557" width="13.5" customWidth="1"/>
    <col min="12801" max="12801" width="8" customWidth="1"/>
    <col min="12802" max="12802" width="10.75" customWidth="1"/>
    <col min="12803" max="12803" width="14.125" customWidth="1"/>
    <col min="12804" max="12804" width="10.25" bestFit="1" customWidth="1"/>
    <col min="12805" max="12805" width="11.375" customWidth="1"/>
    <col min="12806" max="12806" width="9.75" customWidth="1"/>
    <col min="12807" max="12807" width="13.375" customWidth="1"/>
    <col min="12808" max="12808" width="8.75" customWidth="1"/>
    <col min="12809" max="12809" width="12.875" customWidth="1"/>
    <col min="12810" max="12810" width="8.75" bestFit="1" customWidth="1"/>
    <col min="12811" max="12811" width="13.375" customWidth="1"/>
    <col min="12812" max="12812" width="10.5" customWidth="1"/>
    <col min="12813" max="12813" width="13.5" customWidth="1"/>
    <col min="13057" max="13057" width="8" customWidth="1"/>
    <col min="13058" max="13058" width="10.75" customWidth="1"/>
    <col min="13059" max="13059" width="14.125" customWidth="1"/>
    <col min="13060" max="13060" width="10.25" bestFit="1" customWidth="1"/>
    <col min="13061" max="13061" width="11.375" customWidth="1"/>
    <col min="13062" max="13062" width="9.75" customWidth="1"/>
    <col min="13063" max="13063" width="13.375" customWidth="1"/>
    <col min="13064" max="13064" width="8.75" customWidth="1"/>
    <col min="13065" max="13065" width="12.875" customWidth="1"/>
    <col min="13066" max="13066" width="8.75" bestFit="1" customWidth="1"/>
    <col min="13067" max="13067" width="13.375" customWidth="1"/>
    <col min="13068" max="13068" width="10.5" customWidth="1"/>
    <col min="13069" max="13069" width="13.5" customWidth="1"/>
    <col min="13313" max="13313" width="8" customWidth="1"/>
    <col min="13314" max="13314" width="10.75" customWidth="1"/>
    <col min="13315" max="13315" width="14.125" customWidth="1"/>
    <col min="13316" max="13316" width="10.25" bestFit="1" customWidth="1"/>
    <col min="13317" max="13317" width="11.375" customWidth="1"/>
    <col min="13318" max="13318" width="9.75" customWidth="1"/>
    <col min="13319" max="13319" width="13.375" customWidth="1"/>
    <col min="13320" max="13320" width="8.75" customWidth="1"/>
    <col min="13321" max="13321" width="12.875" customWidth="1"/>
    <col min="13322" max="13322" width="8.75" bestFit="1" customWidth="1"/>
    <col min="13323" max="13323" width="13.375" customWidth="1"/>
    <col min="13324" max="13324" width="10.5" customWidth="1"/>
    <col min="13325" max="13325" width="13.5" customWidth="1"/>
    <col min="13569" max="13569" width="8" customWidth="1"/>
    <col min="13570" max="13570" width="10.75" customWidth="1"/>
    <col min="13571" max="13571" width="14.125" customWidth="1"/>
    <col min="13572" max="13572" width="10.25" bestFit="1" customWidth="1"/>
    <col min="13573" max="13573" width="11.375" customWidth="1"/>
    <col min="13574" max="13574" width="9.75" customWidth="1"/>
    <col min="13575" max="13575" width="13.375" customWidth="1"/>
    <col min="13576" max="13576" width="8.75" customWidth="1"/>
    <col min="13577" max="13577" width="12.875" customWidth="1"/>
    <col min="13578" max="13578" width="8.75" bestFit="1" customWidth="1"/>
    <col min="13579" max="13579" width="13.375" customWidth="1"/>
    <col min="13580" max="13580" width="10.5" customWidth="1"/>
    <col min="13581" max="13581" width="13.5" customWidth="1"/>
    <col min="13825" max="13825" width="8" customWidth="1"/>
    <col min="13826" max="13826" width="10.75" customWidth="1"/>
    <col min="13827" max="13827" width="14.125" customWidth="1"/>
    <col min="13828" max="13828" width="10.25" bestFit="1" customWidth="1"/>
    <col min="13829" max="13829" width="11.375" customWidth="1"/>
    <col min="13830" max="13830" width="9.75" customWidth="1"/>
    <col min="13831" max="13831" width="13.375" customWidth="1"/>
    <col min="13832" max="13832" width="8.75" customWidth="1"/>
    <col min="13833" max="13833" width="12.875" customWidth="1"/>
    <col min="13834" max="13834" width="8.75" bestFit="1" customWidth="1"/>
    <col min="13835" max="13835" width="13.375" customWidth="1"/>
    <col min="13836" max="13836" width="10.5" customWidth="1"/>
    <col min="13837" max="13837" width="13.5" customWidth="1"/>
    <col min="14081" max="14081" width="8" customWidth="1"/>
    <col min="14082" max="14082" width="10.75" customWidth="1"/>
    <col min="14083" max="14083" width="14.125" customWidth="1"/>
    <col min="14084" max="14084" width="10.25" bestFit="1" customWidth="1"/>
    <col min="14085" max="14085" width="11.375" customWidth="1"/>
    <col min="14086" max="14086" width="9.75" customWidth="1"/>
    <col min="14087" max="14087" width="13.375" customWidth="1"/>
    <col min="14088" max="14088" width="8.75" customWidth="1"/>
    <col min="14089" max="14089" width="12.875" customWidth="1"/>
    <col min="14090" max="14090" width="8.75" bestFit="1" customWidth="1"/>
    <col min="14091" max="14091" width="13.375" customWidth="1"/>
    <col min="14092" max="14092" width="10.5" customWidth="1"/>
    <col min="14093" max="14093" width="13.5" customWidth="1"/>
    <col min="14337" max="14337" width="8" customWidth="1"/>
    <col min="14338" max="14338" width="10.75" customWidth="1"/>
    <col min="14339" max="14339" width="14.125" customWidth="1"/>
    <col min="14340" max="14340" width="10.25" bestFit="1" customWidth="1"/>
    <col min="14341" max="14341" width="11.375" customWidth="1"/>
    <col min="14342" max="14342" width="9.75" customWidth="1"/>
    <col min="14343" max="14343" width="13.375" customWidth="1"/>
    <col min="14344" max="14344" width="8.75" customWidth="1"/>
    <col min="14345" max="14345" width="12.875" customWidth="1"/>
    <col min="14346" max="14346" width="8.75" bestFit="1" customWidth="1"/>
    <col min="14347" max="14347" width="13.375" customWidth="1"/>
    <col min="14348" max="14348" width="10.5" customWidth="1"/>
    <col min="14349" max="14349" width="13.5" customWidth="1"/>
    <col min="14593" max="14593" width="8" customWidth="1"/>
    <col min="14594" max="14594" width="10.75" customWidth="1"/>
    <col min="14595" max="14595" width="14.125" customWidth="1"/>
    <col min="14596" max="14596" width="10.25" bestFit="1" customWidth="1"/>
    <col min="14597" max="14597" width="11.375" customWidth="1"/>
    <col min="14598" max="14598" width="9.75" customWidth="1"/>
    <col min="14599" max="14599" width="13.375" customWidth="1"/>
    <col min="14600" max="14600" width="8.75" customWidth="1"/>
    <col min="14601" max="14601" width="12.875" customWidth="1"/>
    <col min="14602" max="14602" width="8.75" bestFit="1" customWidth="1"/>
    <col min="14603" max="14603" width="13.375" customWidth="1"/>
    <col min="14604" max="14604" width="10.5" customWidth="1"/>
    <col min="14605" max="14605" width="13.5" customWidth="1"/>
    <col min="14849" max="14849" width="8" customWidth="1"/>
    <col min="14850" max="14850" width="10.75" customWidth="1"/>
    <col min="14851" max="14851" width="14.125" customWidth="1"/>
    <col min="14852" max="14852" width="10.25" bestFit="1" customWidth="1"/>
    <col min="14853" max="14853" width="11.375" customWidth="1"/>
    <col min="14854" max="14854" width="9.75" customWidth="1"/>
    <col min="14855" max="14855" width="13.375" customWidth="1"/>
    <col min="14856" max="14856" width="8.75" customWidth="1"/>
    <col min="14857" max="14857" width="12.875" customWidth="1"/>
    <col min="14858" max="14858" width="8.75" bestFit="1" customWidth="1"/>
    <col min="14859" max="14859" width="13.375" customWidth="1"/>
    <col min="14860" max="14860" width="10.5" customWidth="1"/>
    <col min="14861" max="14861" width="13.5" customWidth="1"/>
    <col min="15105" max="15105" width="8" customWidth="1"/>
    <col min="15106" max="15106" width="10.75" customWidth="1"/>
    <col min="15107" max="15107" width="14.125" customWidth="1"/>
    <col min="15108" max="15108" width="10.25" bestFit="1" customWidth="1"/>
    <col min="15109" max="15109" width="11.375" customWidth="1"/>
    <col min="15110" max="15110" width="9.75" customWidth="1"/>
    <col min="15111" max="15111" width="13.375" customWidth="1"/>
    <col min="15112" max="15112" width="8.75" customWidth="1"/>
    <col min="15113" max="15113" width="12.875" customWidth="1"/>
    <col min="15114" max="15114" width="8.75" bestFit="1" customWidth="1"/>
    <col min="15115" max="15115" width="13.375" customWidth="1"/>
    <col min="15116" max="15116" width="10.5" customWidth="1"/>
    <col min="15117" max="15117" width="13.5" customWidth="1"/>
    <col min="15361" max="15361" width="8" customWidth="1"/>
    <col min="15362" max="15362" width="10.75" customWidth="1"/>
    <col min="15363" max="15363" width="14.125" customWidth="1"/>
    <col min="15364" max="15364" width="10.25" bestFit="1" customWidth="1"/>
    <col min="15365" max="15365" width="11.375" customWidth="1"/>
    <col min="15366" max="15366" width="9.75" customWidth="1"/>
    <col min="15367" max="15367" width="13.375" customWidth="1"/>
    <col min="15368" max="15368" width="8.75" customWidth="1"/>
    <col min="15369" max="15369" width="12.875" customWidth="1"/>
    <col min="15370" max="15370" width="8.75" bestFit="1" customWidth="1"/>
    <col min="15371" max="15371" width="13.375" customWidth="1"/>
    <col min="15372" max="15372" width="10.5" customWidth="1"/>
    <col min="15373" max="15373" width="13.5" customWidth="1"/>
    <col min="15617" max="15617" width="8" customWidth="1"/>
    <col min="15618" max="15618" width="10.75" customWidth="1"/>
    <col min="15619" max="15619" width="14.125" customWidth="1"/>
    <col min="15620" max="15620" width="10.25" bestFit="1" customWidth="1"/>
    <col min="15621" max="15621" width="11.375" customWidth="1"/>
    <col min="15622" max="15622" width="9.75" customWidth="1"/>
    <col min="15623" max="15623" width="13.375" customWidth="1"/>
    <col min="15624" max="15624" width="8.75" customWidth="1"/>
    <col min="15625" max="15625" width="12.875" customWidth="1"/>
    <col min="15626" max="15626" width="8.75" bestFit="1" customWidth="1"/>
    <col min="15627" max="15627" width="13.375" customWidth="1"/>
    <col min="15628" max="15628" width="10.5" customWidth="1"/>
    <col min="15629" max="15629" width="13.5" customWidth="1"/>
    <col min="15873" max="15873" width="8" customWidth="1"/>
    <col min="15874" max="15874" width="10.75" customWidth="1"/>
    <col min="15875" max="15875" width="14.125" customWidth="1"/>
    <col min="15876" max="15876" width="10.25" bestFit="1" customWidth="1"/>
    <col min="15877" max="15877" width="11.375" customWidth="1"/>
    <col min="15878" max="15878" width="9.75" customWidth="1"/>
    <col min="15879" max="15879" width="13.375" customWidth="1"/>
    <col min="15880" max="15880" width="8.75" customWidth="1"/>
    <col min="15881" max="15881" width="12.875" customWidth="1"/>
    <col min="15882" max="15882" width="8.75" bestFit="1" customWidth="1"/>
    <col min="15883" max="15883" width="13.375" customWidth="1"/>
    <col min="15884" max="15884" width="10.5" customWidth="1"/>
    <col min="15885" max="15885" width="13.5" customWidth="1"/>
    <col min="16129" max="16129" width="8" customWidth="1"/>
    <col min="16130" max="16130" width="10.75" customWidth="1"/>
    <col min="16131" max="16131" width="14.125" customWidth="1"/>
    <col min="16132" max="16132" width="10.25" bestFit="1" customWidth="1"/>
    <col min="16133" max="16133" width="11.375" customWidth="1"/>
    <col min="16134" max="16134" width="9.75" customWidth="1"/>
    <col min="16135" max="16135" width="13.375" customWidth="1"/>
    <col min="16136" max="16136" width="8.75" customWidth="1"/>
    <col min="16137" max="16137" width="12.875" customWidth="1"/>
    <col min="16138" max="16138" width="8.75" bestFit="1" customWidth="1"/>
    <col min="16139" max="16139" width="13.375" customWidth="1"/>
    <col min="16140" max="16140" width="10.5" customWidth="1"/>
    <col min="16141" max="16141" width="13.5" customWidth="1"/>
  </cols>
  <sheetData>
    <row r="1" spans="1:13" s="1" customFormat="1" ht="17.25" customHeight="1" x14ac:dyDescent="0.15"/>
    <row r="2" spans="1:13" s="1" customFormat="1" ht="17.2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" customFormat="1" ht="17.25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17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1" customFormat="1" ht="17.25" customHeight="1" x14ac:dyDescent="0.15"/>
    <row r="6" spans="1:13" s="1" customFormat="1" ht="17.25" customHeight="1" x14ac:dyDescent="0.15"/>
    <row r="7" spans="1:13" s="1" customFormat="1" ht="13.5" customHeight="1" x14ac:dyDescent="0.15">
      <c r="A7" s="3" t="s">
        <v>37</v>
      </c>
      <c r="B7" s="4"/>
      <c r="C7" s="4"/>
      <c r="D7" s="4"/>
      <c r="E7" s="3"/>
      <c r="F7" s="4"/>
      <c r="G7" s="4"/>
      <c r="H7" s="4"/>
      <c r="I7" s="4"/>
      <c r="L7" s="4"/>
      <c r="M7" s="4"/>
    </row>
    <row r="8" spans="1:13" s="1" customFormat="1" ht="13.5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1" customFormat="1" ht="12.75" x14ac:dyDescent="0.15">
      <c r="A9" s="5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7" t="s">
        <v>9</v>
      </c>
      <c r="H9" s="6" t="s">
        <v>10</v>
      </c>
      <c r="I9" s="7" t="s">
        <v>11</v>
      </c>
      <c r="J9" s="6" t="s">
        <v>12</v>
      </c>
      <c r="K9" s="7" t="s">
        <v>13</v>
      </c>
      <c r="L9" s="5" t="s">
        <v>14</v>
      </c>
      <c r="M9" s="6" t="s">
        <v>15</v>
      </c>
    </row>
    <row r="10" spans="1:13" s="1" customFormat="1" ht="13.5" thickBot="1" x14ac:dyDescent="0.2">
      <c r="A10" s="8" t="s">
        <v>16</v>
      </c>
      <c r="B10" s="9">
        <v>3.75</v>
      </c>
      <c r="C10" s="10" t="s">
        <v>17</v>
      </c>
      <c r="D10" s="9" t="s">
        <v>38</v>
      </c>
      <c r="E10" s="10" t="s">
        <v>17</v>
      </c>
      <c r="F10" s="9" t="s">
        <v>39</v>
      </c>
      <c r="G10" s="11" t="s">
        <v>17</v>
      </c>
      <c r="H10" s="27" t="s">
        <v>40</v>
      </c>
      <c r="I10" s="11" t="s">
        <v>17</v>
      </c>
      <c r="J10" s="9" t="s">
        <v>41</v>
      </c>
      <c r="K10" s="11" t="s">
        <v>17</v>
      </c>
      <c r="L10" s="12" t="s">
        <v>42</v>
      </c>
      <c r="M10" s="10" t="s">
        <v>17</v>
      </c>
    </row>
    <row r="11" spans="1:13" s="1" customFormat="1" ht="12.75" x14ac:dyDescent="0.15">
      <c r="A11" s="13">
        <v>43739</v>
      </c>
      <c r="B11" s="14">
        <v>98666</v>
      </c>
      <c r="C11" s="15">
        <f>SUM(B11*B10)</f>
        <v>369997.5</v>
      </c>
      <c r="D11" s="14">
        <v>0</v>
      </c>
      <c r="E11" s="15">
        <v>0</v>
      </c>
      <c r="F11" s="14">
        <v>0</v>
      </c>
      <c r="G11" s="15">
        <v>0</v>
      </c>
      <c r="H11" s="14">
        <v>0</v>
      </c>
      <c r="I11" s="15">
        <v>0</v>
      </c>
      <c r="J11" s="14">
        <v>0</v>
      </c>
      <c r="K11" s="15">
        <v>0</v>
      </c>
      <c r="L11" s="14">
        <v>0</v>
      </c>
      <c r="M11" s="15">
        <v>0</v>
      </c>
    </row>
    <row r="12" spans="1:13" s="1" customFormat="1" ht="12.75" x14ac:dyDescent="0.15">
      <c r="A12" s="13">
        <v>43770</v>
      </c>
      <c r="B12" s="14">
        <v>102832</v>
      </c>
      <c r="C12" s="15">
        <f>SUM(B12*B10)</f>
        <v>385620</v>
      </c>
      <c r="D12" s="14">
        <v>0</v>
      </c>
      <c r="E12" s="15">
        <v>0</v>
      </c>
      <c r="F12" s="14">
        <v>0</v>
      </c>
      <c r="G12" s="15">
        <v>0</v>
      </c>
      <c r="H12" s="14">
        <v>0</v>
      </c>
      <c r="I12" s="15">
        <v>0</v>
      </c>
      <c r="J12" s="14">
        <v>0</v>
      </c>
      <c r="K12" s="15">
        <v>0</v>
      </c>
      <c r="L12" s="14">
        <v>0</v>
      </c>
      <c r="M12" s="15">
        <v>0</v>
      </c>
    </row>
    <row r="13" spans="1:13" s="1" customFormat="1" ht="12.75" x14ac:dyDescent="0.15">
      <c r="A13" s="13">
        <v>43800</v>
      </c>
      <c r="B13" s="14">
        <v>110223</v>
      </c>
      <c r="C13" s="15">
        <f>SUM(B13*B10)</f>
        <v>413336.25</v>
      </c>
      <c r="D13" s="14">
        <v>0</v>
      </c>
      <c r="E13" s="15">
        <v>0</v>
      </c>
      <c r="F13" s="14">
        <v>0</v>
      </c>
      <c r="G13" s="15">
        <v>0</v>
      </c>
      <c r="H13" s="14">
        <v>0</v>
      </c>
      <c r="I13" s="15">
        <v>0</v>
      </c>
      <c r="J13" s="14">
        <v>0</v>
      </c>
      <c r="K13" s="15">
        <v>0</v>
      </c>
      <c r="L13" s="14">
        <v>0</v>
      </c>
      <c r="M13" s="15">
        <v>0</v>
      </c>
    </row>
    <row r="14" spans="1:13" s="1" customFormat="1" ht="12.75" x14ac:dyDescent="0.15">
      <c r="A14" s="13">
        <v>43831</v>
      </c>
      <c r="B14" s="14">
        <v>96889</v>
      </c>
      <c r="C14" s="15">
        <f>SUM(B14*B10)</f>
        <v>363333.75</v>
      </c>
      <c r="D14" s="14">
        <v>0</v>
      </c>
      <c r="E14" s="15">
        <v>0</v>
      </c>
      <c r="F14" s="14">
        <v>0</v>
      </c>
      <c r="G14" s="15">
        <v>0</v>
      </c>
      <c r="H14" s="14">
        <v>0</v>
      </c>
      <c r="I14" s="15">
        <v>0</v>
      </c>
      <c r="J14" s="14">
        <v>0</v>
      </c>
      <c r="K14" s="15">
        <v>0</v>
      </c>
      <c r="L14" s="14">
        <v>0</v>
      </c>
      <c r="M14" s="15">
        <v>0</v>
      </c>
    </row>
    <row r="15" spans="1:13" s="1" customFormat="1" ht="12.75" x14ac:dyDescent="0.15">
      <c r="A15" s="13">
        <v>43862</v>
      </c>
      <c r="B15" s="14">
        <v>88145</v>
      </c>
      <c r="C15" s="15">
        <f>SUM(B15*B10)</f>
        <v>330543.75</v>
      </c>
      <c r="D15" s="14">
        <v>0</v>
      </c>
      <c r="E15" s="15">
        <v>0</v>
      </c>
      <c r="F15" s="14">
        <v>0</v>
      </c>
      <c r="G15" s="15">
        <v>0</v>
      </c>
      <c r="H15" s="14">
        <v>0</v>
      </c>
      <c r="I15" s="15">
        <v>0</v>
      </c>
      <c r="J15" s="14">
        <v>0</v>
      </c>
      <c r="K15" s="15">
        <v>0</v>
      </c>
      <c r="L15" s="14">
        <v>0</v>
      </c>
      <c r="M15" s="15">
        <v>0</v>
      </c>
    </row>
    <row r="16" spans="1:13" s="1" customFormat="1" ht="12.75" x14ac:dyDescent="0.15">
      <c r="A16" s="13">
        <v>43891</v>
      </c>
      <c r="B16" s="14">
        <v>78345</v>
      </c>
      <c r="C16" s="15">
        <f>SUM(B16*B10)</f>
        <v>293793.75</v>
      </c>
      <c r="D16" s="14">
        <v>0</v>
      </c>
      <c r="E16" s="15">
        <v>0</v>
      </c>
      <c r="F16" s="14">
        <v>0</v>
      </c>
      <c r="G16" s="15">
        <v>0</v>
      </c>
      <c r="H16" s="14">
        <v>0</v>
      </c>
      <c r="I16" s="15">
        <v>0</v>
      </c>
      <c r="J16" s="14">
        <v>0</v>
      </c>
      <c r="K16" s="15">
        <v>0</v>
      </c>
      <c r="L16" s="14">
        <v>0</v>
      </c>
      <c r="M16" s="15">
        <v>0</v>
      </c>
    </row>
    <row r="17" spans="1:13" s="1" customFormat="1" ht="12.75" x14ac:dyDescent="0.15">
      <c r="A17" s="13">
        <v>43922</v>
      </c>
      <c r="B17" s="14">
        <v>38023</v>
      </c>
      <c r="C17" s="15">
        <f>SUM(B17*B10)</f>
        <v>142586.25</v>
      </c>
      <c r="D17" s="14">
        <v>0</v>
      </c>
      <c r="E17" s="15">
        <v>0</v>
      </c>
      <c r="F17" s="14">
        <v>0</v>
      </c>
      <c r="G17" s="15">
        <v>0</v>
      </c>
      <c r="H17" s="14">
        <v>0</v>
      </c>
      <c r="I17" s="15">
        <v>0</v>
      </c>
      <c r="J17" s="14">
        <v>0</v>
      </c>
      <c r="K17" s="15">
        <v>0</v>
      </c>
      <c r="L17" s="14">
        <v>0</v>
      </c>
      <c r="M17" s="15">
        <v>0</v>
      </c>
    </row>
    <row r="18" spans="1:13" s="1" customFormat="1" ht="12.75" x14ac:dyDescent="0.15">
      <c r="A18" s="13">
        <v>43952</v>
      </c>
      <c r="B18" s="14">
        <v>61597</v>
      </c>
      <c r="C18" s="15">
        <f>SUM(B18*B10)</f>
        <v>230988.75</v>
      </c>
      <c r="D18" s="14">
        <v>0</v>
      </c>
      <c r="E18" s="15">
        <v>0</v>
      </c>
      <c r="F18" s="14">
        <v>0</v>
      </c>
      <c r="G18" s="15">
        <v>0</v>
      </c>
      <c r="H18" s="14">
        <v>0</v>
      </c>
      <c r="I18" s="15">
        <v>0</v>
      </c>
      <c r="J18" s="14">
        <v>0</v>
      </c>
      <c r="K18" s="15">
        <v>0</v>
      </c>
      <c r="L18" s="14">
        <v>0</v>
      </c>
      <c r="M18" s="15">
        <v>0</v>
      </c>
    </row>
    <row r="19" spans="1:13" s="1" customFormat="1" ht="12.75" x14ac:dyDescent="0.15">
      <c r="A19" s="13">
        <v>43983</v>
      </c>
      <c r="B19" s="14">
        <v>67326</v>
      </c>
      <c r="C19" s="15">
        <f>SUM(B19*B10)</f>
        <v>252472.5</v>
      </c>
      <c r="D19" s="14">
        <v>0</v>
      </c>
      <c r="E19" s="15">
        <v>0</v>
      </c>
      <c r="F19" s="14">
        <v>0</v>
      </c>
      <c r="G19" s="15">
        <v>0</v>
      </c>
      <c r="H19" s="14">
        <v>0</v>
      </c>
      <c r="I19" s="15">
        <v>0</v>
      </c>
      <c r="J19" s="14">
        <v>0</v>
      </c>
      <c r="K19" s="15">
        <v>0</v>
      </c>
      <c r="L19" s="14">
        <v>0</v>
      </c>
      <c r="M19" s="15">
        <v>0</v>
      </c>
    </row>
    <row r="20" spans="1:13" s="1" customFormat="1" ht="12.75" x14ac:dyDescent="0.15">
      <c r="A20" s="13">
        <v>44013</v>
      </c>
      <c r="B20" s="14">
        <v>52881</v>
      </c>
      <c r="C20" s="15">
        <f>SUM(B20*B10)</f>
        <v>198303.75</v>
      </c>
      <c r="D20" s="14">
        <v>0</v>
      </c>
      <c r="E20" s="15">
        <v>0</v>
      </c>
      <c r="F20" s="14">
        <v>0</v>
      </c>
      <c r="G20" s="15">
        <v>0</v>
      </c>
      <c r="H20" s="14">
        <v>0</v>
      </c>
      <c r="I20" s="15">
        <v>0</v>
      </c>
      <c r="J20" s="14">
        <v>0</v>
      </c>
      <c r="K20" s="15">
        <v>0</v>
      </c>
      <c r="L20" s="14">
        <v>0</v>
      </c>
      <c r="M20" s="15">
        <v>0</v>
      </c>
    </row>
    <row r="21" spans="1:13" s="1" customFormat="1" ht="12.75" x14ac:dyDescent="0.15">
      <c r="A21" s="13">
        <v>44044</v>
      </c>
      <c r="B21" s="14">
        <v>53071</v>
      </c>
      <c r="C21" s="15">
        <f>SUM(B21*B10)</f>
        <v>199016.25</v>
      </c>
      <c r="D21" s="14">
        <v>0</v>
      </c>
      <c r="E21" s="15">
        <v>0</v>
      </c>
      <c r="F21" s="14">
        <v>0</v>
      </c>
      <c r="G21" s="15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15">
        <v>0</v>
      </c>
    </row>
    <row r="22" spans="1:13" s="1" customFormat="1" ht="12.75" x14ac:dyDescent="0.15">
      <c r="A22" s="13">
        <v>44075</v>
      </c>
      <c r="B22" s="14">
        <v>50432</v>
      </c>
      <c r="C22" s="15">
        <f>SUM(B22*B10)</f>
        <v>189120</v>
      </c>
      <c r="D22" s="14">
        <v>0</v>
      </c>
      <c r="E22" s="15">
        <v>0</v>
      </c>
      <c r="F22" s="14">
        <v>0</v>
      </c>
      <c r="G22" s="15">
        <v>0</v>
      </c>
      <c r="H22" s="14">
        <v>0</v>
      </c>
      <c r="I22" s="15">
        <v>0</v>
      </c>
      <c r="J22" s="14">
        <v>0</v>
      </c>
      <c r="K22" s="15">
        <v>0</v>
      </c>
      <c r="L22" s="14">
        <v>0</v>
      </c>
      <c r="M22" s="15">
        <v>0</v>
      </c>
    </row>
    <row r="23" spans="1:13" s="1" customFormat="1" ht="13.5" thickBot="1" x14ac:dyDescent="0.2">
      <c r="A23" s="16" t="s">
        <v>43</v>
      </c>
      <c r="B23" s="17">
        <f t="shared" ref="B23:M23" si="0">SUM(B11:B22)</f>
        <v>898430</v>
      </c>
      <c r="C23" s="18">
        <f t="shared" si="0"/>
        <v>3369112.5</v>
      </c>
      <c r="D23" s="17">
        <f t="shared" si="0"/>
        <v>0</v>
      </c>
      <c r="E23" s="18">
        <v>0</v>
      </c>
      <c r="F23" s="19">
        <f t="shared" si="0"/>
        <v>0</v>
      </c>
      <c r="G23" s="18">
        <f t="shared" si="0"/>
        <v>0</v>
      </c>
      <c r="H23" s="19">
        <f t="shared" si="0"/>
        <v>0</v>
      </c>
      <c r="I23" s="18">
        <f t="shared" si="0"/>
        <v>0</v>
      </c>
      <c r="J23" s="19">
        <f t="shared" si="0"/>
        <v>0</v>
      </c>
      <c r="K23" s="18">
        <f t="shared" si="0"/>
        <v>0</v>
      </c>
      <c r="L23" s="19">
        <f t="shared" si="0"/>
        <v>0</v>
      </c>
      <c r="M23" s="18">
        <f t="shared" si="0"/>
        <v>0</v>
      </c>
    </row>
    <row r="24" spans="1:13" s="1" customFormat="1" ht="12.75" thickBot="1" x14ac:dyDescent="0.2"/>
    <row r="25" spans="1:13" s="1" customFormat="1" ht="12.75" x14ac:dyDescent="0.15">
      <c r="A25" s="5" t="s">
        <v>3</v>
      </c>
      <c r="B25" s="6" t="s">
        <v>19</v>
      </c>
      <c r="C25" s="6" t="s">
        <v>20</v>
      </c>
      <c r="D25" s="6" t="s">
        <v>21</v>
      </c>
      <c r="E25" s="6" t="s">
        <v>22</v>
      </c>
      <c r="F25" s="6" t="s">
        <v>23</v>
      </c>
      <c r="G25" s="6" t="s">
        <v>24</v>
      </c>
      <c r="H25" s="6" t="s">
        <v>25</v>
      </c>
      <c r="I25" s="6" t="s">
        <v>26</v>
      </c>
      <c r="J25" s="6" t="s">
        <v>27</v>
      </c>
      <c r="K25" s="6" t="s">
        <v>28</v>
      </c>
      <c r="L25" s="6" t="s">
        <v>29</v>
      </c>
      <c r="M25" s="6" t="s">
        <v>29</v>
      </c>
    </row>
    <row r="26" spans="1:13" s="1" customFormat="1" ht="13.5" thickBot="1" x14ac:dyDescent="0.2">
      <c r="A26" s="8" t="s">
        <v>16</v>
      </c>
      <c r="B26" s="9">
        <v>1</v>
      </c>
      <c r="C26" s="10" t="s">
        <v>17</v>
      </c>
      <c r="D26" s="9" t="s">
        <v>30</v>
      </c>
      <c r="E26" s="10" t="s">
        <v>17</v>
      </c>
      <c r="F26" s="9">
        <v>10</v>
      </c>
      <c r="G26" s="10" t="s">
        <v>17</v>
      </c>
      <c r="H26" s="9">
        <v>1</v>
      </c>
      <c r="I26" s="10" t="s">
        <v>17</v>
      </c>
      <c r="J26" s="10"/>
      <c r="K26" s="10" t="s">
        <v>17</v>
      </c>
      <c r="L26" s="10" t="s">
        <v>31</v>
      </c>
      <c r="M26" s="10" t="s">
        <v>32</v>
      </c>
    </row>
    <row r="27" spans="1:13" s="1" customFormat="1" ht="12.75" x14ac:dyDescent="0.15">
      <c r="A27" s="13">
        <v>43739</v>
      </c>
      <c r="B27" s="14">
        <v>4424</v>
      </c>
      <c r="C27" s="20">
        <f>SUM(B27*B26)</f>
        <v>4424</v>
      </c>
      <c r="D27" s="14">
        <v>0</v>
      </c>
      <c r="E27" s="20">
        <v>0</v>
      </c>
      <c r="F27" s="14">
        <v>497</v>
      </c>
      <c r="G27" s="20">
        <f>F26*F27</f>
        <v>4970</v>
      </c>
      <c r="H27" s="14">
        <v>195810</v>
      </c>
      <c r="I27" s="20">
        <f>SUM(H27*H26)</f>
        <v>195810</v>
      </c>
      <c r="J27" s="14">
        <f>66+489</f>
        <v>555</v>
      </c>
      <c r="K27" s="20">
        <f>198+1711.5+3203.21</f>
        <v>5112.71</v>
      </c>
      <c r="L27" s="21">
        <f t="shared" ref="L27:M38" si="1">B11+D11+F11+H11+J11+L11+B27+D27+F27+H27+J27</f>
        <v>299952</v>
      </c>
      <c r="M27" s="22">
        <f t="shared" si="1"/>
        <v>580314.21</v>
      </c>
    </row>
    <row r="28" spans="1:13" s="1" customFormat="1" ht="12.75" x14ac:dyDescent="0.15">
      <c r="A28" s="13">
        <v>43770</v>
      </c>
      <c r="B28" s="14">
        <v>4616</v>
      </c>
      <c r="C28" s="20">
        <f>SUM(B28*B26)</f>
        <v>4616</v>
      </c>
      <c r="D28" s="14">
        <v>0</v>
      </c>
      <c r="E28" s="20">
        <v>0</v>
      </c>
      <c r="F28" s="14">
        <v>504</v>
      </c>
      <c r="G28" s="20">
        <f>F26*F28</f>
        <v>5040</v>
      </c>
      <c r="H28" s="14">
        <v>195151</v>
      </c>
      <c r="I28" s="20">
        <f>SUM(H28*H26)</f>
        <v>195151</v>
      </c>
      <c r="J28" s="14">
        <f>112+497</f>
        <v>609</v>
      </c>
      <c r="K28" s="20">
        <f>336+1739.5+3373.53</f>
        <v>5449.0300000000007</v>
      </c>
      <c r="L28" s="21">
        <f t="shared" si="1"/>
        <v>303712</v>
      </c>
      <c r="M28" s="22">
        <f t="shared" si="1"/>
        <v>595876.03</v>
      </c>
    </row>
    <row r="29" spans="1:13" s="1" customFormat="1" ht="12.75" x14ac:dyDescent="0.15">
      <c r="A29" s="13">
        <v>43800</v>
      </c>
      <c r="B29" s="14">
        <v>5016</v>
      </c>
      <c r="C29" s="20">
        <f>SUM(B29*B26)</f>
        <v>5016</v>
      </c>
      <c r="D29" s="14">
        <v>0</v>
      </c>
      <c r="E29" s="20">
        <v>0</v>
      </c>
      <c r="F29" s="14">
        <v>535</v>
      </c>
      <c r="G29" s="20">
        <f>F26*F29</f>
        <v>5350</v>
      </c>
      <c r="H29" s="14">
        <v>208431</v>
      </c>
      <c r="I29" s="20">
        <f>SUM(H29*H26)</f>
        <v>208431</v>
      </c>
      <c r="J29" s="14">
        <f>310+528</f>
        <v>838</v>
      </c>
      <c r="K29" s="20">
        <f>930+1848+3767.07</f>
        <v>6545.07</v>
      </c>
      <c r="L29" s="21">
        <f t="shared" si="1"/>
        <v>325043</v>
      </c>
      <c r="M29" s="22">
        <f t="shared" si="1"/>
        <v>638678.31999999995</v>
      </c>
    </row>
    <row r="30" spans="1:13" s="1" customFormat="1" ht="12.75" x14ac:dyDescent="0.15">
      <c r="A30" s="13">
        <v>43831</v>
      </c>
      <c r="B30" s="14">
        <v>5027</v>
      </c>
      <c r="C30" s="20">
        <f>SUM(B30*B26)</f>
        <v>5027</v>
      </c>
      <c r="D30" s="14">
        <v>0</v>
      </c>
      <c r="E30" s="20">
        <v>0</v>
      </c>
      <c r="F30" s="14">
        <v>504</v>
      </c>
      <c r="G30" s="20">
        <f>F26*F30</f>
        <v>5040</v>
      </c>
      <c r="H30" s="14">
        <v>191281</v>
      </c>
      <c r="I30" s="20">
        <f>SUM(H30*H26)</f>
        <v>191281</v>
      </c>
      <c r="J30" s="14">
        <f>82+498</f>
        <v>580</v>
      </c>
      <c r="K30" s="20">
        <f>246+1743+2965.52</f>
        <v>4954.5200000000004</v>
      </c>
      <c r="L30" s="21">
        <f t="shared" si="1"/>
        <v>294281</v>
      </c>
      <c r="M30" s="22">
        <f t="shared" si="1"/>
        <v>569636.27</v>
      </c>
    </row>
    <row r="31" spans="1:13" s="1" customFormat="1" ht="12.75" x14ac:dyDescent="0.15">
      <c r="A31" s="13">
        <v>43862</v>
      </c>
      <c r="B31" s="14">
        <v>5913</v>
      </c>
      <c r="C31" s="20">
        <f>SUM(B31*B26)</f>
        <v>5913</v>
      </c>
      <c r="D31" s="14">
        <v>0</v>
      </c>
      <c r="E31" s="20">
        <v>0</v>
      </c>
      <c r="F31" s="14">
        <v>482</v>
      </c>
      <c r="G31" s="20">
        <f>F26*F31</f>
        <v>4820</v>
      </c>
      <c r="H31" s="14">
        <v>181289</v>
      </c>
      <c r="I31" s="20">
        <f>SUM(H31*H26)</f>
        <v>181289</v>
      </c>
      <c r="J31" s="14">
        <f>73+474</f>
        <v>547</v>
      </c>
      <c r="K31" s="20">
        <f>219+1659+2743.7</f>
        <v>4621.7</v>
      </c>
      <c r="L31" s="21">
        <f t="shared" si="1"/>
        <v>276376</v>
      </c>
      <c r="M31" s="22">
        <f t="shared" si="1"/>
        <v>527187.44999999995</v>
      </c>
    </row>
    <row r="32" spans="1:13" s="1" customFormat="1" ht="12.75" x14ac:dyDescent="0.15">
      <c r="A32" s="13">
        <v>43891</v>
      </c>
      <c r="B32" s="14">
        <v>4185</v>
      </c>
      <c r="C32" s="20">
        <f>SUM(B32*B26)</f>
        <v>4185</v>
      </c>
      <c r="D32" s="14">
        <v>0</v>
      </c>
      <c r="E32" s="20">
        <v>0</v>
      </c>
      <c r="F32" s="14">
        <v>439</v>
      </c>
      <c r="G32" s="20">
        <f>F26*F32</f>
        <v>4390</v>
      </c>
      <c r="H32" s="14">
        <v>136118</v>
      </c>
      <c r="I32" s="20">
        <f>SUM(H32*H26)</f>
        <v>136118</v>
      </c>
      <c r="J32" s="14">
        <f>71+432</f>
        <v>503</v>
      </c>
      <c r="K32" s="20">
        <f>213+1512+1672.17</f>
        <v>3397.17</v>
      </c>
      <c r="L32" s="21">
        <f t="shared" si="1"/>
        <v>219590</v>
      </c>
      <c r="M32" s="22">
        <f t="shared" si="1"/>
        <v>441883.92</v>
      </c>
    </row>
    <row r="33" spans="1:13" s="1" customFormat="1" ht="12.75" x14ac:dyDescent="0.15">
      <c r="A33" s="13">
        <v>43922</v>
      </c>
      <c r="B33" s="14">
        <v>1200</v>
      </c>
      <c r="C33" s="20">
        <f>SUM(B33*B26)</f>
        <v>1200</v>
      </c>
      <c r="D33" s="14">
        <v>0</v>
      </c>
      <c r="E33" s="20">
        <v>0</v>
      </c>
      <c r="F33" s="14">
        <v>127</v>
      </c>
      <c r="G33" s="20">
        <f>F26*F33</f>
        <v>1270</v>
      </c>
      <c r="H33" s="14">
        <v>38227</v>
      </c>
      <c r="I33" s="20">
        <f>SUM(H33*H26)</f>
        <v>38227</v>
      </c>
      <c r="J33" s="14">
        <f>28+127</f>
        <v>155</v>
      </c>
      <c r="K33" s="20">
        <f>84+444.5+716.93+25</f>
        <v>1270.4299999999998</v>
      </c>
      <c r="L33" s="21">
        <f t="shared" si="1"/>
        <v>77732</v>
      </c>
      <c r="M33" s="22">
        <f t="shared" si="1"/>
        <v>184553.68</v>
      </c>
    </row>
    <row r="34" spans="1:13" s="1" customFormat="1" ht="12.75" x14ac:dyDescent="0.15">
      <c r="A34" s="13">
        <v>43952</v>
      </c>
      <c r="B34" s="14">
        <v>1662</v>
      </c>
      <c r="C34" s="20">
        <f>SUM(B34*B26)</f>
        <v>1662</v>
      </c>
      <c r="D34" s="14">
        <v>0</v>
      </c>
      <c r="E34" s="20">
        <v>0</v>
      </c>
      <c r="F34" s="14">
        <v>179</v>
      </c>
      <c r="G34" s="20">
        <f>F26*F34</f>
        <v>1790</v>
      </c>
      <c r="H34" s="14">
        <v>60984</v>
      </c>
      <c r="I34" s="20">
        <f>SUM(H34*H26)</f>
        <v>60984</v>
      </c>
      <c r="J34" s="14">
        <f>69+175</f>
        <v>244</v>
      </c>
      <c r="K34" s="20">
        <f>207+612.5+1001.98</f>
        <v>1821.48</v>
      </c>
      <c r="L34" s="21">
        <f t="shared" si="1"/>
        <v>124666</v>
      </c>
      <c r="M34" s="22">
        <f t="shared" si="1"/>
        <v>297246.23</v>
      </c>
    </row>
    <row r="35" spans="1:13" s="1" customFormat="1" ht="12.75" x14ac:dyDescent="0.15">
      <c r="A35" s="13">
        <v>43983</v>
      </c>
      <c r="B35" s="14">
        <v>1618</v>
      </c>
      <c r="C35" s="20">
        <f>SUM(B35*B26)</f>
        <v>1618</v>
      </c>
      <c r="D35" s="14">
        <v>0</v>
      </c>
      <c r="E35" s="20">
        <v>0</v>
      </c>
      <c r="F35" s="14">
        <v>206</v>
      </c>
      <c r="G35" s="20">
        <f>F26*F35</f>
        <v>2060</v>
      </c>
      <c r="H35" s="14">
        <v>73651</v>
      </c>
      <c r="I35" s="20">
        <f>SUM(H35*H26)</f>
        <v>73651</v>
      </c>
      <c r="J35" s="14">
        <f>160+202</f>
        <v>362</v>
      </c>
      <c r="K35" s="20">
        <f>480+707+1107.62</f>
        <v>2294.62</v>
      </c>
      <c r="L35" s="21">
        <f t="shared" si="1"/>
        <v>143163</v>
      </c>
      <c r="M35" s="22">
        <f t="shared" si="1"/>
        <v>332096.12</v>
      </c>
    </row>
    <row r="36" spans="1:13" s="1" customFormat="1" ht="12.75" x14ac:dyDescent="0.15">
      <c r="A36" s="13">
        <v>44013</v>
      </c>
      <c r="B36" s="14">
        <v>1626</v>
      </c>
      <c r="C36" s="20">
        <f>SUM(B36*B26)</f>
        <v>1626</v>
      </c>
      <c r="D36" s="14">
        <v>0</v>
      </c>
      <c r="E36" s="20">
        <v>0</v>
      </c>
      <c r="F36" s="14">
        <v>210</v>
      </c>
      <c r="G36" s="20">
        <f>F26*F36</f>
        <v>2100</v>
      </c>
      <c r="H36" s="14">
        <v>64219</v>
      </c>
      <c r="I36" s="20">
        <f>SUM(H36*H26)</f>
        <v>64219</v>
      </c>
      <c r="J36" s="14">
        <f>139+205</f>
        <v>344</v>
      </c>
      <c r="K36" s="20">
        <f>417+717.5+1056.39+24</f>
        <v>2214.8900000000003</v>
      </c>
      <c r="L36" s="21">
        <f t="shared" si="1"/>
        <v>119280</v>
      </c>
      <c r="M36" s="22">
        <f t="shared" si="1"/>
        <v>268463.64</v>
      </c>
    </row>
    <row r="37" spans="1:13" s="1" customFormat="1" ht="12.75" x14ac:dyDescent="0.15">
      <c r="A37" s="13">
        <v>44044</v>
      </c>
      <c r="B37" s="14">
        <v>1678</v>
      </c>
      <c r="C37" s="20">
        <f>SUM(B37*B26)</f>
        <v>1678</v>
      </c>
      <c r="D37" s="14">
        <v>0</v>
      </c>
      <c r="E37" s="20">
        <v>0</v>
      </c>
      <c r="F37" s="14">
        <v>199</v>
      </c>
      <c r="G37" s="20">
        <f>F26*F37</f>
        <v>1990</v>
      </c>
      <c r="H37" s="14">
        <v>70070</v>
      </c>
      <c r="I37" s="20">
        <f>SUM(H37*H26)</f>
        <v>70070</v>
      </c>
      <c r="J37" s="14">
        <f>106+191</f>
        <v>297</v>
      </c>
      <c r="K37" s="20">
        <f>318+668.5+1013.97</f>
        <v>2000.47</v>
      </c>
      <c r="L37" s="21">
        <f t="shared" si="1"/>
        <v>125315</v>
      </c>
      <c r="M37" s="22">
        <f t="shared" si="1"/>
        <v>274754.71999999997</v>
      </c>
    </row>
    <row r="38" spans="1:13" s="1" customFormat="1" ht="12.75" x14ac:dyDescent="0.15">
      <c r="A38" s="13">
        <v>44075</v>
      </c>
      <c r="B38" s="14">
        <v>1611</v>
      </c>
      <c r="C38" s="20">
        <f>SUM(B38*B26)</f>
        <v>1611</v>
      </c>
      <c r="D38" s="14">
        <v>0</v>
      </c>
      <c r="E38" s="20">
        <v>0</v>
      </c>
      <c r="F38" s="14">
        <v>186</v>
      </c>
      <c r="G38" s="20">
        <f>F38*F26</f>
        <v>1860</v>
      </c>
      <c r="H38" s="14">
        <v>68412</v>
      </c>
      <c r="I38" s="20">
        <f>SUM(H38*H26)</f>
        <v>68412</v>
      </c>
      <c r="J38" s="14">
        <f>75+181</f>
        <v>256</v>
      </c>
      <c r="K38" s="20">
        <f>225+633.5+1024.6</f>
        <v>1883.1</v>
      </c>
      <c r="L38" s="21">
        <f t="shared" si="1"/>
        <v>120897</v>
      </c>
      <c r="M38" s="22">
        <f t="shared" si="1"/>
        <v>262886.09999999998</v>
      </c>
    </row>
    <row r="39" spans="1:13" s="1" customFormat="1" ht="13.5" thickBot="1" x14ac:dyDescent="0.2">
      <c r="A39" s="16" t="s">
        <v>43</v>
      </c>
      <c r="B39" s="17">
        <f t="shared" ref="B39:M39" si="2">SUM(B27:B38)</f>
        <v>38576</v>
      </c>
      <c r="C39" s="23">
        <f t="shared" si="2"/>
        <v>38576</v>
      </c>
      <c r="D39" s="19">
        <f t="shared" si="2"/>
        <v>0</v>
      </c>
      <c r="E39" s="23">
        <f t="shared" si="2"/>
        <v>0</v>
      </c>
      <c r="F39" s="17">
        <f t="shared" si="2"/>
        <v>4068</v>
      </c>
      <c r="G39" s="23">
        <f t="shared" si="2"/>
        <v>40680</v>
      </c>
      <c r="H39" s="17">
        <f t="shared" si="2"/>
        <v>1483643</v>
      </c>
      <c r="I39" s="23">
        <f t="shared" si="2"/>
        <v>1483643</v>
      </c>
      <c r="J39" s="17">
        <f t="shared" si="2"/>
        <v>5290</v>
      </c>
      <c r="K39" s="23">
        <f t="shared" si="2"/>
        <v>41565.19000000001</v>
      </c>
      <c r="L39" s="24">
        <f t="shared" si="2"/>
        <v>2430007</v>
      </c>
      <c r="M39" s="25">
        <f t="shared" si="2"/>
        <v>4973576.6899999995</v>
      </c>
    </row>
    <row r="40" spans="1:13" s="1" customFormat="1" x14ac:dyDescent="0.15"/>
    <row r="41" spans="1:13" s="1" customFormat="1" ht="15" customHeight="1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s="1" customFormat="1" x14ac:dyDescent="0.15">
      <c r="A42" s="26"/>
    </row>
    <row r="43" spans="1:13" s="1" customFormat="1" ht="15.75" x14ac:dyDescent="0.15">
      <c r="A43" s="3" t="s">
        <v>33</v>
      </c>
    </row>
    <row r="44" spans="1:13" s="1" customFormat="1" ht="17.25" customHeight="1" x14ac:dyDescent="0.15">
      <c r="A44" s="28" t="s">
        <v>34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s="1" customFormat="1" ht="17.25" customHeight="1" x14ac:dyDescent="0.15">
      <c r="A45" s="29" t="s">
        <v>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s="1" customFormat="1" ht="17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1" customFormat="1" ht="17.25" customHeight="1" x14ac:dyDescent="0.15"/>
    <row r="48" spans="1:13" s="1" customFormat="1" ht="17.25" customHeight="1" x14ac:dyDescent="0.15"/>
    <row r="49" spans="1:13" s="1" customFormat="1" ht="13.5" customHeight="1" x14ac:dyDescent="0.15">
      <c r="A49" s="3" t="s">
        <v>37</v>
      </c>
      <c r="B49" s="4"/>
      <c r="C49" s="4"/>
      <c r="D49" s="4"/>
      <c r="E49" s="3"/>
      <c r="F49" s="4"/>
      <c r="G49" s="4"/>
      <c r="H49" s="4"/>
      <c r="I49" s="4"/>
      <c r="L49" s="4"/>
      <c r="M49" s="4"/>
    </row>
    <row r="50" spans="1:13" s="1" customFormat="1" ht="13.5" thickBo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1" customFormat="1" ht="12.75" x14ac:dyDescent="0.15">
      <c r="A51" s="5" t="s">
        <v>3</v>
      </c>
      <c r="B51" s="6" t="s">
        <v>4</v>
      </c>
      <c r="C51" s="6" t="s">
        <v>5</v>
      </c>
      <c r="D51" s="6" t="s">
        <v>6</v>
      </c>
      <c r="E51" s="6" t="s">
        <v>7</v>
      </c>
      <c r="F51" s="6" t="s">
        <v>8</v>
      </c>
      <c r="G51" s="7" t="s">
        <v>9</v>
      </c>
      <c r="H51" s="6" t="s">
        <v>10</v>
      </c>
      <c r="I51" s="7" t="s">
        <v>11</v>
      </c>
      <c r="J51" s="6" t="s">
        <v>12</v>
      </c>
      <c r="K51" s="7" t="s">
        <v>13</v>
      </c>
      <c r="L51" s="5" t="s">
        <v>14</v>
      </c>
      <c r="M51" s="6" t="s">
        <v>15</v>
      </c>
    </row>
    <row r="52" spans="1:13" s="1" customFormat="1" ht="13.5" thickBot="1" x14ac:dyDescent="0.2">
      <c r="A52" s="8" t="s">
        <v>16</v>
      </c>
      <c r="B52" s="9">
        <v>3.75</v>
      </c>
      <c r="C52" s="10" t="s">
        <v>17</v>
      </c>
      <c r="D52" s="9" t="s">
        <v>38</v>
      </c>
      <c r="E52" s="10" t="s">
        <v>17</v>
      </c>
      <c r="F52" s="9" t="s">
        <v>39</v>
      </c>
      <c r="G52" s="11" t="s">
        <v>17</v>
      </c>
      <c r="H52" s="27" t="s">
        <v>40</v>
      </c>
      <c r="I52" s="11" t="s">
        <v>17</v>
      </c>
      <c r="J52" s="9" t="s">
        <v>41</v>
      </c>
      <c r="K52" s="11" t="s">
        <v>17</v>
      </c>
      <c r="L52" s="12" t="s">
        <v>42</v>
      </c>
      <c r="M52" s="10" t="s">
        <v>17</v>
      </c>
    </row>
    <row r="53" spans="1:13" s="1" customFormat="1" ht="12.75" x14ac:dyDescent="0.15">
      <c r="A53" s="13">
        <v>43739</v>
      </c>
      <c r="B53" s="14">
        <v>32651</v>
      </c>
      <c r="C53" s="15">
        <f>SUM(B53*B52)</f>
        <v>122441.25</v>
      </c>
      <c r="D53" s="14">
        <v>112</v>
      </c>
      <c r="E53" s="15">
        <v>1133</v>
      </c>
      <c r="F53" s="14">
        <v>886</v>
      </c>
      <c r="G53" s="15">
        <v>13015.5</v>
      </c>
      <c r="H53" s="14">
        <v>13</v>
      </c>
      <c r="I53" s="15">
        <v>220.75</v>
      </c>
      <c r="J53" s="14">
        <v>760</v>
      </c>
      <c r="K53" s="15">
        <v>15196.5</v>
      </c>
      <c r="L53" s="14">
        <v>76</v>
      </c>
      <c r="M53" s="15">
        <v>1891.25</v>
      </c>
    </row>
    <row r="54" spans="1:13" s="1" customFormat="1" ht="12.75" x14ac:dyDescent="0.15">
      <c r="A54" s="13">
        <v>43770</v>
      </c>
      <c r="B54" s="14">
        <v>33892</v>
      </c>
      <c r="C54" s="15">
        <f>SUM(B54*B52)</f>
        <v>127095</v>
      </c>
      <c r="D54" s="14">
        <v>101</v>
      </c>
      <c r="E54" s="15">
        <v>1045</v>
      </c>
      <c r="F54" s="14">
        <v>937</v>
      </c>
      <c r="G54" s="15">
        <v>13857</v>
      </c>
      <c r="H54" s="14">
        <v>14</v>
      </c>
      <c r="I54" s="15">
        <v>241.5</v>
      </c>
      <c r="J54" s="14">
        <v>627</v>
      </c>
      <c r="K54" s="15">
        <v>12570.25</v>
      </c>
      <c r="L54" s="14">
        <v>95</v>
      </c>
      <c r="M54" s="15">
        <v>2326</v>
      </c>
    </row>
    <row r="55" spans="1:13" s="1" customFormat="1" ht="12.75" x14ac:dyDescent="0.15">
      <c r="A55" s="13">
        <v>43800</v>
      </c>
      <c r="B55" s="14">
        <v>36016</v>
      </c>
      <c r="C55" s="15">
        <f>SUM(B55*B52)</f>
        <v>135060</v>
      </c>
      <c r="D55" s="14">
        <v>113</v>
      </c>
      <c r="E55" s="15">
        <v>1181.5</v>
      </c>
      <c r="F55" s="14">
        <v>713</v>
      </c>
      <c r="G55" s="15">
        <v>10569</v>
      </c>
      <c r="H55" s="14">
        <v>1</v>
      </c>
      <c r="I55" s="15">
        <v>17.25</v>
      </c>
      <c r="J55" s="14">
        <v>537</v>
      </c>
      <c r="K55" s="15">
        <v>10934</v>
      </c>
      <c r="L55" s="14">
        <v>48</v>
      </c>
      <c r="M55" s="15">
        <v>1168.5</v>
      </c>
    </row>
    <row r="56" spans="1:13" s="1" customFormat="1" ht="12.75" x14ac:dyDescent="0.15">
      <c r="A56" s="13">
        <v>43831</v>
      </c>
      <c r="B56" s="14">
        <v>31500</v>
      </c>
      <c r="C56" s="15">
        <f>SUM(B56*B52)</f>
        <v>118125</v>
      </c>
      <c r="D56" s="14">
        <v>121</v>
      </c>
      <c r="E56" s="15">
        <v>1253</v>
      </c>
      <c r="F56" s="14">
        <v>844</v>
      </c>
      <c r="G56" s="15">
        <v>12537</v>
      </c>
      <c r="H56" s="14">
        <v>5</v>
      </c>
      <c r="I56" s="15">
        <v>86.25</v>
      </c>
      <c r="J56" s="14">
        <v>758</v>
      </c>
      <c r="K56" s="15">
        <v>15565</v>
      </c>
      <c r="L56" s="14">
        <v>21</v>
      </c>
      <c r="M56" s="15">
        <v>497</v>
      </c>
    </row>
    <row r="57" spans="1:13" s="1" customFormat="1" ht="12.75" x14ac:dyDescent="0.15">
      <c r="A57" s="13">
        <v>43862</v>
      </c>
      <c r="B57" s="14">
        <v>30830</v>
      </c>
      <c r="C57" s="15">
        <f>SUM(B57*B52)</f>
        <v>115612.5</v>
      </c>
      <c r="D57" s="14">
        <v>110</v>
      </c>
      <c r="E57" s="15">
        <v>1138</v>
      </c>
      <c r="F57" s="14">
        <v>639</v>
      </c>
      <c r="G57" s="15">
        <v>9475.5</v>
      </c>
      <c r="H57" s="14">
        <v>5</v>
      </c>
      <c r="I57" s="15">
        <v>86.25</v>
      </c>
      <c r="J57" s="14">
        <v>803</v>
      </c>
      <c r="K57" s="15">
        <v>16563.25</v>
      </c>
      <c r="L57" s="14">
        <v>64</v>
      </c>
      <c r="M57" s="15">
        <v>1572</v>
      </c>
    </row>
    <row r="58" spans="1:13" s="1" customFormat="1" ht="12.75" x14ac:dyDescent="0.15">
      <c r="A58" s="13">
        <v>43891</v>
      </c>
      <c r="B58" s="14">
        <v>26247</v>
      </c>
      <c r="C58" s="15">
        <f>SUM(B58*B52)</f>
        <v>98426.25</v>
      </c>
      <c r="D58" s="14">
        <v>114</v>
      </c>
      <c r="E58" s="15">
        <v>1168.5</v>
      </c>
      <c r="F58" s="14">
        <v>756</v>
      </c>
      <c r="G58" s="15">
        <v>11169</v>
      </c>
      <c r="H58" s="14">
        <v>7</v>
      </c>
      <c r="I58" s="15">
        <v>115.5</v>
      </c>
      <c r="J58" s="14">
        <v>801</v>
      </c>
      <c r="K58" s="15">
        <v>16409.25</v>
      </c>
      <c r="L58" s="14">
        <v>80</v>
      </c>
      <c r="M58" s="15">
        <v>1879.25</v>
      </c>
    </row>
    <row r="59" spans="1:13" s="1" customFormat="1" ht="12.75" x14ac:dyDescent="0.15">
      <c r="A59" s="13">
        <v>43922</v>
      </c>
      <c r="B59" s="14">
        <v>8501</v>
      </c>
      <c r="C59" s="15">
        <f>SUM(B59*B52)</f>
        <v>31878.75</v>
      </c>
      <c r="D59" s="14">
        <v>31</v>
      </c>
      <c r="E59" s="15">
        <v>308</v>
      </c>
      <c r="F59" s="14">
        <v>575</v>
      </c>
      <c r="G59" s="15">
        <v>8505</v>
      </c>
      <c r="H59" s="14">
        <v>1</v>
      </c>
      <c r="I59" s="15">
        <v>17.25</v>
      </c>
      <c r="J59" s="14">
        <v>239</v>
      </c>
      <c r="K59" s="15">
        <v>4895</v>
      </c>
      <c r="L59" s="14">
        <v>82</v>
      </c>
      <c r="M59" s="15">
        <v>1931</v>
      </c>
    </row>
    <row r="60" spans="1:13" s="1" customFormat="1" ht="12.75" x14ac:dyDescent="0.15">
      <c r="A60" s="13">
        <v>43952</v>
      </c>
      <c r="B60" s="14">
        <v>14006</v>
      </c>
      <c r="C60" s="15">
        <f>SUM(B60*B52)</f>
        <v>52522.5</v>
      </c>
      <c r="D60" s="14">
        <v>42</v>
      </c>
      <c r="E60" s="15">
        <v>430.5</v>
      </c>
      <c r="F60" s="14">
        <v>1193</v>
      </c>
      <c r="G60" s="15">
        <v>17784</v>
      </c>
      <c r="H60" s="14">
        <v>6</v>
      </c>
      <c r="I60" s="15">
        <v>98.25</v>
      </c>
      <c r="J60" s="14">
        <v>467</v>
      </c>
      <c r="K60" s="15">
        <v>9957.75</v>
      </c>
      <c r="L60" s="14">
        <v>156</v>
      </c>
      <c r="M60" s="15">
        <v>3774</v>
      </c>
    </row>
    <row r="61" spans="1:13" s="1" customFormat="1" ht="12.75" x14ac:dyDescent="0.15">
      <c r="A61" s="13">
        <v>43983</v>
      </c>
      <c r="B61" s="14">
        <v>14243</v>
      </c>
      <c r="C61" s="15">
        <f>SUM(B61*B52)</f>
        <v>53411.25</v>
      </c>
      <c r="D61" s="14">
        <v>100</v>
      </c>
      <c r="E61" s="15">
        <v>1032.5</v>
      </c>
      <c r="F61" s="14">
        <v>950</v>
      </c>
      <c r="G61" s="15">
        <v>14137.5</v>
      </c>
      <c r="H61" s="14">
        <v>11</v>
      </c>
      <c r="I61" s="15">
        <v>189.75</v>
      </c>
      <c r="J61" s="14">
        <v>996</v>
      </c>
      <c r="K61" s="15">
        <v>20949.5</v>
      </c>
      <c r="L61" s="14">
        <v>166</v>
      </c>
      <c r="M61" s="15">
        <v>4036.25</v>
      </c>
    </row>
    <row r="62" spans="1:13" s="1" customFormat="1" ht="12.75" x14ac:dyDescent="0.15">
      <c r="A62" s="13">
        <v>44013</v>
      </c>
      <c r="B62" s="14">
        <v>13855</v>
      </c>
      <c r="C62" s="15">
        <f>SUM(B62*B52)</f>
        <v>51956.25</v>
      </c>
      <c r="D62" s="14">
        <v>134</v>
      </c>
      <c r="E62" s="15">
        <v>1397.5</v>
      </c>
      <c r="F62" s="14">
        <v>1339</v>
      </c>
      <c r="G62" s="15">
        <v>19908</v>
      </c>
      <c r="H62" s="14">
        <v>20</v>
      </c>
      <c r="I62" s="15">
        <v>345</v>
      </c>
      <c r="J62" s="14">
        <v>1038</v>
      </c>
      <c r="K62" s="15">
        <v>21840.5</v>
      </c>
      <c r="L62" s="14">
        <v>158</v>
      </c>
      <c r="M62" s="15">
        <v>3804.75</v>
      </c>
    </row>
    <row r="63" spans="1:13" s="1" customFormat="1" ht="12.75" x14ac:dyDescent="0.15">
      <c r="A63" s="13">
        <v>44044</v>
      </c>
      <c r="B63" s="14">
        <v>16408</v>
      </c>
      <c r="C63" s="15">
        <f>SUM(B63*B52)</f>
        <v>61530</v>
      </c>
      <c r="D63" s="14">
        <v>105</v>
      </c>
      <c r="E63" s="15">
        <v>1074</v>
      </c>
      <c r="F63" s="14">
        <v>1421</v>
      </c>
      <c r="G63" s="15">
        <v>21100.5</v>
      </c>
      <c r="H63" s="14">
        <v>23</v>
      </c>
      <c r="I63" s="15">
        <v>393.25</v>
      </c>
      <c r="J63" s="14">
        <v>912</v>
      </c>
      <c r="K63" s="15">
        <v>18928.25</v>
      </c>
      <c r="L63" s="14">
        <v>153</v>
      </c>
      <c r="M63" s="15">
        <v>3648.25</v>
      </c>
    </row>
    <row r="64" spans="1:13" s="1" customFormat="1" ht="12.75" x14ac:dyDescent="0.15">
      <c r="A64" s="13">
        <v>44075</v>
      </c>
      <c r="B64" s="14">
        <v>16482</v>
      </c>
      <c r="C64" s="15">
        <f>B64*B52</f>
        <v>61807.5</v>
      </c>
      <c r="D64" s="14">
        <v>81</v>
      </c>
      <c r="E64" s="15">
        <v>817.5</v>
      </c>
      <c r="F64" s="14">
        <v>959</v>
      </c>
      <c r="G64" s="15">
        <v>14223</v>
      </c>
      <c r="H64" s="14">
        <v>13</v>
      </c>
      <c r="I64" s="15">
        <v>208.5</v>
      </c>
      <c r="J64" s="14">
        <v>809</v>
      </c>
      <c r="K64" s="15">
        <v>16742</v>
      </c>
      <c r="L64" s="14">
        <v>74</v>
      </c>
      <c r="M64" s="15">
        <v>1729.25</v>
      </c>
    </row>
    <row r="65" spans="1:13" s="1" customFormat="1" ht="13.5" thickBot="1" x14ac:dyDescent="0.2">
      <c r="A65" s="16" t="s">
        <v>43</v>
      </c>
      <c r="B65" s="17">
        <f t="shared" ref="B65:M65" si="3">SUM(B53:B64)</f>
        <v>274631</v>
      </c>
      <c r="C65" s="18">
        <f t="shared" si="3"/>
        <v>1029866.25</v>
      </c>
      <c r="D65" s="17">
        <f t="shared" si="3"/>
        <v>1164</v>
      </c>
      <c r="E65" s="18">
        <f>SUM(E53:E64)</f>
        <v>11979</v>
      </c>
      <c r="F65" s="17">
        <f t="shared" si="3"/>
        <v>11212</v>
      </c>
      <c r="G65" s="18">
        <f t="shared" si="3"/>
        <v>166281</v>
      </c>
      <c r="H65" s="19">
        <f t="shared" si="3"/>
        <v>119</v>
      </c>
      <c r="I65" s="18">
        <f t="shared" si="3"/>
        <v>2019.5</v>
      </c>
      <c r="J65" s="17">
        <f t="shared" si="3"/>
        <v>8747</v>
      </c>
      <c r="K65" s="18">
        <f t="shared" si="3"/>
        <v>180551.25</v>
      </c>
      <c r="L65" s="19">
        <f t="shared" si="3"/>
        <v>1173</v>
      </c>
      <c r="M65" s="18">
        <f t="shared" si="3"/>
        <v>28257.5</v>
      </c>
    </row>
    <row r="66" spans="1:13" s="1" customFormat="1" ht="12.75" thickBot="1" x14ac:dyDescent="0.2"/>
    <row r="67" spans="1:13" s="1" customFormat="1" ht="12.75" x14ac:dyDescent="0.15">
      <c r="A67" s="5" t="s">
        <v>3</v>
      </c>
      <c r="B67" s="6" t="s">
        <v>19</v>
      </c>
      <c r="C67" s="6" t="s">
        <v>20</v>
      </c>
      <c r="D67" s="6" t="s">
        <v>21</v>
      </c>
      <c r="E67" s="6" t="s">
        <v>22</v>
      </c>
      <c r="F67" s="6" t="s">
        <v>23</v>
      </c>
      <c r="G67" s="6" t="s">
        <v>24</v>
      </c>
      <c r="H67" s="6" t="s">
        <v>25</v>
      </c>
      <c r="I67" s="6" t="s">
        <v>26</v>
      </c>
      <c r="J67" s="6" t="s">
        <v>27</v>
      </c>
      <c r="K67" s="6" t="s">
        <v>28</v>
      </c>
      <c r="L67" s="6" t="s">
        <v>29</v>
      </c>
      <c r="M67" s="6" t="s">
        <v>29</v>
      </c>
    </row>
    <row r="68" spans="1:13" s="1" customFormat="1" ht="13.5" thickBot="1" x14ac:dyDescent="0.2">
      <c r="A68" s="8" t="s">
        <v>16</v>
      </c>
      <c r="B68" s="9">
        <v>1</v>
      </c>
      <c r="C68" s="10" t="s">
        <v>17</v>
      </c>
      <c r="D68" s="9" t="s">
        <v>30</v>
      </c>
      <c r="E68" s="10" t="s">
        <v>17</v>
      </c>
      <c r="F68" s="9">
        <v>10</v>
      </c>
      <c r="G68" s="10" t="s">
        <v>17</v>
      </c>
      <c r="H68" s="9">
        <v>1</v>
      </c>
      <c r="I68" s="10" t="s">
        <v>17</v>
      </c>
      <c r="J68" s="10"/>
      <c r="K68" s="10" t="s">
        <v>17</v>
      </c>
      <c r="L68" s="10" t="s">
        <v>31</v>
      </c>
      <c r="M68" s="10" t="s">
        <v>32</v>
      </c>
    </row>
    <row r="69" spans="1:13" s="1" customFormat="1" ht="12.75" x14ac:dyDescent="0.15">
      <c r="A69" s="13">
        <v>43739</v>
      </c>
      <c r="B69" s="14">
        <v>8</v>
      </c>
      <c r="C69" s="20">
        <f>SUM(B69*B68)</f>
        <v>8</v>
      </c>
      <c r="D69" s="14">
        <f>5506+1106</f>
        <v>6612</v>
      </c>
      <c r="E69" s="20">
        <f>42671.5+12442.5</f>
        <v>55114</v>
      </c>
      <c r="F69" s="14">
        <v>2</v>
      </c>
      <c r="G69" s="20">
        <f>F69*F68</f>
        <v>20</v>
      </c>
      <c r="H69" s="14">
        <v>248</v>
      </c>
      <c r="I69" s="20">
        <f>SUM(H69*H68)</f>
        <v>248</v>
      </c>
      <c r="J69" s="14">
        <f>135+157+1938</f>
        <v>2230</v>
      </c>
      <c r="K69" s="20">
        <f>21497.5+471+6783+418.61</f>
        <v>29170.11</v>
      </c>
      <c r="L69" s="21">
        <f>B53+D53+F53+H53+J53+L53+B69+D69+F69+H69+J69</f>
        <v>43598</v>
      </c>
      <c r="M69" s="22">
        <f t="shared" ref="L69:M80" si="4">C53+E53+G53+I53+K53+M53+C69+E69+G69+I69+K69</f>
        <v>238458.36</v>
      </c>
    </row>
    <row r="70" spans="1:13" s="1" customFormat="1" ht="12.75" x14ac:dyDescent="0.15">
      <c r="A70" s="13">
        <v>43770</v>
      </c>
      <c r="B70" s="14">
        <v>10</v>
      </c>
      <c r="C70" s="20">
        <f>SUM(B70*B68)</f>
        <v>10</v>
      </c>
      <c r="D70" s="14">
        <f>4654+972</f>
        <v>5626</v>
      </c>
      <c r="E70" s="20">
        <f>36068.5+10935</f>
        <v>47003.5</v>
      </c>
      <c r="F70" s="14">
        <v>1</v>
      </c>
      <c r="G70" s="20">
        <f>F70*F68</f>
        <v>10</v>
      </c>
      <c r="H70" s="14">
        <v>310</v>
      </c>
      <c r="I70" s="20">
        <f>SUM(H70*H68)</f>
        <v>310</v>
      </c>
      <c r="J70" s="14">
        <f>77+155+1597</f>
        <v>1829</v>
      </c>
      <c r="K70" s="20">
        <f>15120+465+5589.5+470.67</f>
        <v>21645.17</v>
      </c>
      <c r="L70" s="21">
        <f t="shared" si="4"/>
        <v>43442</v>
      </c>
      <c r="M70" s="22">
        <f t="shared" si="4"/>
        <v>226113.41999999998</v>
      </c>
    </row>
    <row r="71" spans="1:13" s="1" customFormat="1" ht="12.75" x14ac:dyDescent="0.15">
      <c r="A71" s="13">
        <v>43800</v>
      </c>
      <c r="B71" s="14">
        <v>8</v>
      </c>
      <c r="C71" s="20">
        <f>SUM(B71*B68)</f>
        <v>8</v>
      </c>
      <c r="D71" s="14">
        <f>6587+1566</f>
        <v>8153</v>
      </c>
      <c r="E71" s="20">
        <f>51041.5+17617.5</f>
        <v>68659</v>
      </c>
      <c r="F71" s="14">
        <v>5</v>
      </c>
      <c r="G71" s="20">
        <f>F71*F68</f>
        <v>50</v>
      </c>
      <c r="H71" s="14">
        <v>511</v>
      </c>
      <c r="I71" s="20">
        <f>SUM(H71*H68)</f>
        <v>511</v>
      </c>
      <c r="J71" s="14">
        <f>35+248+2421</f>
        <v>2704</v>
      </c>
      <c r="K71" s="20">
        <f>6451.5+744+8473.5+482.67</f>
        <v>16151.67</v>
      </c>
      <c r="L71" s="21">
        <f t="shared" si="4"/>
        <v>48809</v>
      </c>
      <c r="M71" s="22">
        <f t="shared" si="4"/>
        <v>244309.92</v>
      </c>
    </row>
    <row r="72" spans="1:13" s="1" customFormat="1" ht="12.75" x14ac:dyDescent="0.15">
      <c r="A72" s="13">
        <v>43831</v>
      </c>
      <c r="B72" s="14">
        <v>19</v>
      </c>
      <c r="C72" s="20">
        <f>SUM(B72*B68)</f>
        <v>19</v>
      </c>
      <c r="D72" s="14">
        <f>3648+524</f>
        <v>4172</v>
      </c>
      <c r="E72" s="20">
        <f>28272+5895</f>
        <v>34167</v>
      </c>
      <c r="F72" s="14">
        <v>3</v>
      </c>
      <c r="G72" s="20">
        <f>F72*F68</f>
        <v>30</v>
      </c>
      <c r="H72" s="14">
        <v>271</v>
      </c>
      <c r="I72" s="20">
        <f>SUM(H72*H68)</f>
        <v>271</v>
      </c>
      <c r="J72" s="14">
        <f>45+102+924</f>
        <v>1071</v>
      </c>
      <c r="K72" s="20">
        <f>6625+306+3234+454.77</f>
        <v>10619.77</v>
      </c>
      <c r="L72" s="21">
        <f t="shared" si="4"/>
        <v>38785</v>
      </c>
      <c r="M72" s="22">
        <f t="shared" si="4"/>
        <v>193170.02</v>
      </c>
    </row>
    <row r="73" spans="1:13" s="1" customFormat="1" ht="12.75" x14ac:dyDescent="0.15">
      <c r="A73" s="13">
        <v>43862</v>
      </c>
      <c r="B73" s="14">
        <v>17</v>
      </c>
      <c r="C73" s="20">
        <f>SUM(B73*B68)</f>
        <v>17</v>
      </c>
      <c r="D73" s="14">
        <f>4588+873</f>
        <v>5461</v>
      </c>
      <c r="E73" s="20">
        <f>35557+9821.25</f>
        <v>45378.25</v>
      </c>
      <c r="F73" s="14">
        <v>3</v>
      </c>
      <c r="G73" s="20">
        <f>F73*F68</f>
        <v>30</v>
      </c>
      <c r="H73" s="14">
        <v>369</v>
      </c>
      <c r="I73" s="20">
        <f>SUM(H73*H68)</f>
        <v>369</v>
      </c>
      <c r="J73" s="14">
        <f>55+104+1463</f>
        <v>1622</v>
      </c>
      <c r="K73" s="20">
        <f>8768+312+5120.5+349.05</f>
        <v>14549.55</v>
      </c>
      <c r="L73" s="21">
        <f t="shared" si="4"/>
        <v>39923</v>
      </c>
      <c r="M73" s="22">
        <f t="shared" si="4"/>
        <v>204791.3</v>
      </c>
    </row>
    <row r="74" spans="1:13" s="1" customFormat="1" ht="12.75" x14ac:dyDescent="0.15">
      <c r="A74" s="13">
        <v>43891</v>
      </c>
      <c r="B74" s="14">
        <v>10</v>
      </c>
      <c r="C74" s="20">
        <f>SUM(B74*B68)</f>
        <v>10</v>
      </c>
      <c r="D74" s="14">
        <f>3500+724</f>
        <v>4224</v>
      </c>
      <c r="E74" s="20">
        <f>27125+8145</f>
        <v>35270</v>
      </c>
      <c r="F74" s="14">
        <v>0</v>
      </c>
      <c r="G74" s="20">
        <f>F74*F68</f>
        <v>0</v>
      </c>
      <c r="H74" s="14">
        <v>349</v>
      </c>
      <c r="I74" s="20">
        <f>SUM(H74*H68)</f>
        <v>349</v>
      </c>
      <c r="J74" s="14">
        <f>71+99+1306</f>
        <v>1476</v>
      </c>
      <c r="K74" s="20">
        <f>11251+297+4571+164.75</f>
        <v>16283.75</v>
      </c>
      <c r="L74" s="21">
        <f t="shared" si="4"/>
        <v>34064</v>
      </c>
      <c r="M74" s="22">
        <f t="shared" si="4"/>
        <v>181080.5</v>
      </c>
    </row>
    <row r="75" spans="1:13" s="1" customFormat="1" ht="12.75" x14ac:dyDescent="0.15">
      <c r="A75" s="13">
        <v>43922</v>
      </c>
      <c r="B75" s="14">
        <v>3</v>
      </c>
      <c r="C75" s="20">
        <f>SUM(B75*B68)</f>
        <v>3</v>
      </c>
      <c r="D75" s="14">
        <f>215+55</f>
        <v>270</v>
      </c>
      <c r="E75" s="20">
        <f>1666.25+618.75</f>
        <v>2285</v>
      </c>
      <c r="F75" s="14">
        <v>0</v>
      </c>
      <c r="G75" s="20">
        <f>F75*F68</f>
        <v>0</v>
      </c>
      <c r="H75" s="14">
        <v>63</v>
      </c>
      <c r="I75" s="20">
        <f>SUM(H75*H68)</f>
        <v>63</v>
      </c>
      <c r="J75" s="14">
        <f>85+52+164</f>
        <v>301</v>
      </c>
      <c r="K75" s="20">
        <f>11247.5+156+574+49.52</f>
        <v>12027.02</v>
      </c>
      <c r="L75" s="21">
        <f t="shared" si="4"/>
        <v>10066</v>
      </c>
      <c r="M75" s="22">
        <f t="shared" si="4"/>
        <v>61913.020000000004</v>
      </c>
    </row>
    <row r="76" spans="1:13" s="1" customFormat="1" ht="12.75" x14ac:dyDescent="0.15">
      <c r="A76" s="13">
        <v>43952</v>
      </c>
      <c r="B76" s="14">
        <v>6</v>
      </c>
      <c r="C76" s="20">
        <f>SUM(B76*B68)</f>
        <v>6</v>
      </c>
      <c r="D76" s="14">
        <f>115+34</f>
        <v>149</v>
      </c>
      <c r="E76" s="20">
        <f>891.25+382.5</f>
        <v>1273.75</v>
      </c>
      <c r="F76" s="14">
        <v>0</v>
      </c>
      <c r="G76" s="20">
        <f>F76*F68</f>
        <v>0</v>
      </c>
      <c r="H76" s="14">
        <v>77</v>
      </c>
      <c r="I76" s="20">
        <f>SUM(H76*H68)</f>
        <v>77</v>
      </c>
      <c r="J76" s="14">
        <f>10+138+594</f>
        <v>742</v>
      </c>
      <c r="K76" s="20">
        <f>321+414+2079+90.67</f>
        <v>2904.67</v>
      </c>
      <c r="L76" s="21">
        <f t="shared" si="4"/>
        <v>16844</v>
      </c>
      <c r="M76" s="22">
        <f t="shared" si="4"/>
        <v>88828.42</v>
      </c>
    </row>
    <row r="77" spans="1:13" s="1" customFormat="1" ht="12.75" x14ac:dyDescent="0.15">
      <c r="A77" s="13">
        <v>43983</v>
      </c>
      <c r="B77" s="14">
        <v>8</v>
      </c>
      <c r="C77" s="20">
        <f>SUM(B77*B68)</f>
        <v>8</v>
      </c>
      <c r="D77" s="14">
        <f>399+145</f>
        <v>544</v>
      </c>
      <c r="E77" s="20">
        <f>3092.25+1631.25</f>
        <v>4723.5</v>
      </c>
      <c r="F77" s="14">
        <v>0</v>
      </c>
      <c r="G77" s="20">
        <f>F77*F68</f>
        <v>0</v>
      </c>
      <c r="H77" s="14">
        <v>68</v>
      </c>
      <c r="I77" s="20">
        <f>SUM(H77*H68)</f>
        <v>68</v>
      </c>
      <c r="J77" s="14">
        <f>9+123+679</f>
        <v>811</v>
      </c>
      <c r="K77" s="20">
        <f>716.5+369+2376.5+92.56+35.75</f>
        <v>3590.31</v>
      </c>
      <c r="L77" s="21">
        <f t="shared" si="4"/>
        <v>17897</v>
      </c>
      <c r="M77" s="22">
        <f t="shared" si="4"/>
        <v>102146.56</v>
      </c>
    </row>
    <row r="78" spans="1:13" s="1" customFormat="1" ht="12.75" x14ac:dyDescent="0.15">
      <c r="A78" s="13">
        <v>44013</v>
      </c>
      <c r="B78" s="14">
        <v>4</v>
      </c>
      <c r="C78" s="20">
        <f>SUM(B78*B68)</f>
        <v>4</v>
      </c>
      <c r="D78" s="14">
        <f>977+323</f>
        <v>1300</v>
      </c>
      <c r="E78" s="20">
        <f>7571.75+3633.75</f>
        <v>11205.5</v>
      </c>
      <c r="F78" s="14">
        <v>0</v>
      </c>
      <c r="G78" s="20">
        <f>F78*F68</f>
        <v>0</v>
      </c>
      <c r="H78" s="14">
        <v>67</v>
      </c>
      <c r="I78" s="20">
        <f>SUM(H78*H68)</f>
        <v>67</v>
      </c>
      <c r="J78" s="14">
        <f>15+124+892</f>
        <v>1031</v>
      </c>
      <c r="K78" s="20">
        <f>1127+372+3122+0.22</f>
        <v>4621.22</v>
      </c>
      <c r="L78" s="21">
        <f t="shared" si="4"/>
        <v>18946</v>
      </c>
      <c r="M78" s="22">
        <f t="shared" si="4"/>
        <v>115149.72</v>
      </c>
    </row>
    <row r="79" spans="1:13" s="1" customFormat="1" ht="12.75" x14ac:dyDescent="0.15">
      <c r="A79" s="13">
        <v>44044</v>
      </c>
      <c r="B79" s="14">
        <v>3</v>
      </c>
      <c r="C79" s="20">
        <f>SUM(B79*B68)</f>
        <v>3</v>
      </c>
      <c r="D79" s="14">
        <f>2016+478</f>
        <v>2494</v>
      </c>
      <c r="E79" s="20">
        <f>15624+5377.5</f>
        <v>21001.5</v>
      </c>
      <c r="F79" s="14">
        <v>1</v>
      </c>
      <c r="G79" s="20">
        <f>F79*F68</f>
        <v>10</v>
      </c>
      <c r="H79" s="14">
        <v>105</v>
      </c>
      <c r="I79" s="20">
        <f>SUM(H79*H68)</f>
        <v>105</v>
      </c>
      <c r="J79" s="14">
        <f>17+140+975</f>
        <v>1132</v>
      </c>
      <c r="K79" s="20">
        <f>659+420+3412.5+87.52</f>
        <v>4579.0200000000004</v>
      </c>
      <c r="L79" s="21">
        <f t="shared" si="4"/>
        <v>22757</v>
      </c>
      <c r="M79" s="22">
        <f t="shared" si="4"/>
        <v>132372.76999999999</v>
      </c>
    </row>
    <row r="80" spans="1:13" s="1" customFormat="1" ht="12.75" x14ac:dyDescent="0.15">
      <c r="A80" s="13">
        <v>44075</v>
      </c>
      <c r="B80" s="14">
        <v>2</v>
      </c>
      <c r="C80" s="20">
        <f>B80*B68</f>
        <v>2</v>
      </c>
      <c r="D80" s="14">
        <f>2698+770</f>
        <v>3468</v>
      </c>
      <c r="E80" s="20">
        <f>20909.5+8662.5</f>
        <v>29572</v>
      </c>
      <c r="F80" s="14">
        <v>0</v>
      </c>
      <c r="G80" s="20">
        <f>F80*F68</f>
        <v>0</v>
      </c>
      <c r="H80" s="14">
        <v>96</v>
      </c>
      <c r="I80" s="20">
        <f>SUM(H80*H68)</f>
        <v>96</v>
      </c>
      <c r="J80" s="14">
        <f>10+118+1265</f>
        <v>1393</v>
      </c>
      <c r="K80" s="20">
        <f>667.5+354+4427.5+108.84</f>
        <v>5557.84</v>
      </c>
      <c r="L80" s="21">
        <f t="shared" si="4"/>
        <v>23377</v>
      </c>
      <c r="M80" s="22">
        <f t="shared" si="4"/>
        <v>130755.59</v>
      </c>
    </row>
    <row r="81" spans="1:13" s="1" customFormat="1" ht="13.5" thickBot="1" x14ac:dyDescent="0.2">
      <c r="A81" s="16" t="s">
        <v>43</v>
      </c>
      <c r="B81" s="17">
        <f t="shared" ref="B81:M81" si="5">SUM(B69:B80)</f>
        <v>98</v>
      </c>
      <c r="C81" s="23">
        <f t="shared" si="5"/>
        <v>98</v>
      </c>
      <c r="D81" s="17">
        <f t="shared" si="5"/>
        <v>42473</v>
      </c>
      <c r="E81" s="23">
        <f t="shared" si="5"/>
        <v>355653</v>
      </c>
      <c r="F81" s="19">
        <f t="shared" si="5"/>
        <v>15</v>
      </c>
      <c r="G81" s="23">
        <f t="shared" si="5"/>
        <v>150</v>
      </c>
      <c r="H81" s="17">
        <f t="shared" si="5"/>
        <v>2534</v>
      </c>
      <c r="I81" s="23">
        <f t="shared" si="5"/>
        <v>2534</v>
      </c>
      <c r="J81" s="17">
        <f t="shared" si="5"/>
        <v>16342</v>
      </c>
      <c r="K81" s="23">
        <f t="shared" si="5"/>
        <v>141700.09999999998</v>
      </c>
      <c r="L81" s="24">
        <f t="shared" si="5"/>
        <v>358508</v>
      </c>
      <c r="M81" s="25">
        <f t="shared" si="5"/>
        <v>1919089.6</v>
      </c>
    </row>
    <row r="82" spans="1:13" s="1" customFormat="1" x14ac:dyDescent="0.15"/>
    <row r="83" spans="1:13" s="1" customFormat="1" ht="15" customHeight="1" x14ac:dyDescent="0.1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s="1" customFormat="1" x14ac:dyDescent="0.15">
      <c r="A84" s="26"/>
    </row>
    <row r="85" spans="1:13" s="1" customFormat="1" ht="15.75" x14ac:dyDescent="0.15">
      <c r="A85" s="3" t="s">
        <v>33</v>
      </c>
    </row>
    <row r="86" spans="1:13" s="1" customFormat="1" ht="17.25" customHeight="1" x14ac:dyDescent="0.15">
      <c r="A86" s="28" t="s">
        <v>35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s="1" customFormat="1" ht="17.25" customHeight="1" x14ac:dyDescent="0.15">
      <c r="A87" s="29" t="s">
        <v>1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 s="1" customFormat="1" ht="17.2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s="1" customFormat="1" ht="17.25" customHeight="1" x14ac:dyDescent="0.15"/>
    <row r="90" spans="1:13" s="1" customFormat="1" ht="17.25" customHeight="1" x14ac:dyDescent="0.15"/>
    <row r="91" spans="1:13" s="1" customFormat="1" ht="13.5" customHeight="1" x14ac:dyDescent="0.15">
      <c r="A91" s="3" t="s">
        <v>37</v>
      </c>
      <c r="B91" s="4"/>
      <c r="C91" s="4"/>
      <c r="D91" s="4"/>
      <c r="E91" s="3"/>
      <c r="F91" s="4"/>
      <c r="G91" s="4"/>
      <c r="H91" s="4"/>
      <c r="I91" s="4"/>
      <c r="L91" s="4"/>
      <c r="M91" s="4"/>
    </row>
    <row r="92" spans="1:13" s="1" customFormat="1" ht="13.5" thickBo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1" customFormat="1" ht="12.75" x14ac:dyDescent="0.15">
      <c r="A93" s="5" t="s">
        <v>3</v>
      </c>
      <c r="B93" s="6" t="s">
        <v>4</v>
      </c>
      <c r="C93" s="6" t="s">
        <v>5</v>
      </c>
      <c r="D93" s="6" t="s">
        <v>6</v>
      </c>
      <c r="E93" s="6" t="s">
        <v>7</v>
      </c>
      <c r="F93" s="6" t="s">
        <v>8</v>
      </c>
      <c r="G93" s="7" t="s">
        <v>9</v>
      </c>
      <c r="H93" s="6" t="s">
        <v>10</v>
      </c>
      <c r="I93" s="7" t="s">
        <v>11</v>
      </c>
      <c r="J93" s="6" t="s">
        <v>12</v>
      </c>
      <c r="K93" s="7" t="s">
        <v>13</v>
      </c>
      <c r="L93" s="5" t="s">
        <v>14</v>
      </c>
      <c r="M93" s="6" t="s">
        <v>15</v>
      </c>
    </row>
    <row r="94" spans="1:13" s="1" customFormat="1" ht="13.5" thickBot="1" x14ac:dyDescent="0.2">
      <c r="A94" s="8" t="s">
        <v>16</v>
      </c>
      <c r="B94" s="9">
        <v>3.75</v>
      </c>
      <c r="C94" s="10" t="s">
        <v>17</v>
      </c>
      <c r="D94" s="9" t="s">
        <v>38</v>
      </c>
      <c r="E94" s="10" t="s">
        <v>17</v>
      </c>
      <c r="F94" s="9" t="s">
        <v>39</v>
      </c>
      <c r="G94" s="11" t="s">
        <v>17</v>
      </c>
      <c r="H94" s="27" t="s">
        <v>40</v>
      </c>
      <c r="I94" s="11" t="s">
        <v>17</v>
      </c>
      <c r="J94" s="9" t="s">
        <v>41</v>
      </c>
      <c r="K94" s="11" t="s">
        <v>17</v>
      </c>
      <c r="L94" s="12" t="s">
        <v>42</v>
      </c>
      <c r="M94" s="10" t="s">
        <v>17</v>
      </c>
    </row>
    <row r="95" spans="1:13" s="1" customFormat="1" ht="12.75" x14ac:dyDescent="0.15">
      <c r="A95" s="13">
        <v>43739</v>
      </c>
      <c r="B95" s="14">
        <v>123351</v>
      </c>
      <c r="C95" s="15">
        <f>SUM(B95*B94)</f>
        <v>462566.25</v>
      </c>
      <c r="D95" s="14">
        <v>2236</v>
      </c>
      <c r="E95" s="15">
        <v>22359.5</v>
      </c>
      <c r="F95" s="14">
        <v>1940</v>
      </c>
      <c r="G95" s="15">
        <v>26875.5</v>
      </c>
      <c r="H95" s="14">
        <v>49</v>
      </c>
      <c r="I95" s="15">
        <v>791</v>
      </c>
      <c r="J95" s="14">
        <v>17269</v>
      </c>
      <c r="K95" s="15">
        <v>343505.25</v>
      </c>
      <c r="L95" s="14">
        <v>1277</v>
      </c>
      <c r="M95" s="15">
        <v>30203</v>
      </c>
    </row>
    <row r="96" spans="1:13" s="1" customFormat="1" ht="12.75" x14ac:dyDescent="0.15">
      <c r="A96" s="13">
        <v>43770</v>
      </c>
      <c r="B96" s="14">
        <v>120291</v>
      </c>
      <c r="C96" s="15">
        <f>SUM(B96*B94)</f>
        <v>451091.25</v>
      </c>
      <c r="D96" s="14">
        <v>1891</v>
      </c>
      <c r="E96" s="15">
        <v>18860</v>
      </c>
      <c r="F96" s="14">
        <v>1875</v>
      </c>
      <c r="G96" s="15">
        <v>26035.5</v>
      </c>
      <c r="H96" s="14">
        <v>29</v>
      </c>
      <c r="I96" s="15">
        <v>468.75</v>
      </c>
      <c r="J96" s="14">
        <v>15381</v>
      </c>
      <c r="K96" s="15">
        <v>304757.75</v>
      </c>
      <c r="L96" s="14">
        <v>887</v>
      </c>
      <c r="M96" s="15">
        <v>21053.25</v>
      </c>
    </row>
    <row r="97" spans="1:13" s="1" customFormat="1" ht="12.75" x14ac:dyDescent="0.15">
      <c r="A97" s="13">
        <v>43800</v>
      </c>
      <c r="B97" s="14">
        <v>129784</v>
      </c>
      <c r="C97" s="15">
        <f>SUM(B97*B94)</f>
        <v>486690</v>
      </c>
      <c r="D97" s="14">
        <v>1822</v>
      </c>
      <c r="E97" s="15">
        <v>18167</v>
      </c>
      <c r="F97" s="14">
        <v>1873</v>
      </c>
      <c r="G97" s="15">
        <v>25975.5</v>
      </c>
      <c r="H97" s="14">
        <v>26</v>
      </c>
      <c r="I97" s="15">
        <v>418.75</v>
      </c>
      <c r="J97" s="14">
        <v>14875</v>
      </c>
      <c r="K97" s="15">
        <v>295836.75</v>
      </c>
      <c r="L97" s="14">
        <v>783</v>
      </c>
      <c r="M97" s="15">
        <v>18715.75</v>
      </c>
    </row>
    <row r="98" spans="1:13" s="1" customFormat="1" ht="12.75" x14ac:dyDescent="0.15">
      <c r="A98" s="13">
        <v>43831</v>
      </c>
      <c r="B98" s="14">
        <v>122433</v>
      </c>
      <c r="C98" s="15">
        <f>SUM(B98*B94)</f>
        <v>459123.75</v>
      </c>
      <c r="D98" s="14">
        <v>2051</v>
      </c>
      <c r="E98" s="15">
        <v>20428</v>
      </c>
      <c r="F98" s="14">
        <v>1885</v>
      </c>
      <c r="G98" s="15">
        <v>26122.5</v>
      </c>
      <c r="H98" s="14">
        <v>32</v>
      </c>
      <c r="I98" s="15">
        <v>497.75</v>
      </c>
      <c r="J98" s="14">
        <v>17615</v>
      </c>
      <c r="K98" s="15">
        <v>350185</v>
      </c>
      <c r="L98" s="14">
        <v>901</v>
      </c>
      <c r="M98" s="15">
        <v>21503</v>
      </c>
    </row>
    <row r="99" spans="1:13" s="1" customFormat="1" ht="12.75" x14ac:dyDescent="0.15">
      <c r="A99" s="13">
        <v>43862</v>
      </c>
      <c r="B99" s="14">
        <v>121493</v>
      </c>
      <c r="C99" s="15">
        <f>SUM(B99*B94)</f>
        <v>455598.75</v>
      </c>
      <c r="D99" s="14">
        <v>1949</v>
      </c>
      <c r="E99" s="15">
        <v>19427.5</v>
      </c>
      <c r="F99" s="14">
        <v>1791</v>
      </c>
      <c r="G99" s="15">
        <v>24906</v>
      </c>
      <c r="H99" s="14">
        <v>51</v>
      </c>
      <c r="I99" s="15">
        <v>802.75</v>
      </c>
      <c r="J99" s="14">
        <v>16008</v>
      </c>
      <c r="K99" s="15">
        <v>317130</v>
      </c>
      <c r="L99" s="14">
        <v>798</v>
      </c>
      <c r="M99" s="15">
        <v>19020.75</v>
      </c>
    </row>
    <row r="100" spans="1:13" s="1" customFormat="1" ht="12.75" x14ac:dyDescent="0.15">
      <c r="A100" s="13">
        <v>43891</v>
      </c>
      <c r="B100" s="14">
        <v>100450</v>
      </c>
      <c r="C100" s="15">
        <f>SUM(B100*B94)</f>
        <v>376687.5</v>
      </c>
      <c r="D100" s="14">
        <v>1992</v>
      </c>
      <c r="E100" s="15">
        <v>19855.5</v>
      </c>
      <c r="F100" s="14">
        <v>2007</v>
      </c>
      <c r="G100" s="15">
        <v>27799.5</v>
      </c>
      <c r="H100" s="14">
        <v>43</v>
      </c>
      <c r="I100" s="15">
        <v>677</v>
      </c>
      <c r="J100" s="14">
        <v>15969</v>
      </c>
      <c r="K100" s="15">
        <v>315881.5</v>
      </c>
      <c r="L100" s="14">
        <v>985</v>
      </c>
      <c r="M100" s="15">
        <v>23347.5</v>
      </c>
    </row>
    <row r="101" spans="1:13" s="1" customFormat="1" ht="12.75" x14ac:dyDescent="0.15">
      <c r="A101" s="13">
        <v>43922</v>
      </c>
      <c r="B101" s="14">
        <v>42670</v>
      </c>
      <c r="C101" s="15">
        <f>SUM(B101*B94)</f>
        <v>160012.5</v>
      </c>
      <c r="D101" s="14">
        <v>1373</v>
      </c>
      <c r="E101" s="15">
        <v>13715.5</v>
      </c>
      <c r="F101" s="14">
        <v>1489</v>
      </c>
      <c r="G101" s="15">
        <v>20874</v>
      </c>
      <c r="H101" s="14">
        <v>35</v>
      </c>
      <c r="I101" s="15">
        <v>554.75</v>
      </c>
      <c r="J101" s="14">
        <v>8778</v>
      </c>
      <c r="K101" s="15">
        <v>174220.75</v>
      </c>
      <c r="L101" s="14">
        <v>781</v>
      </c>
      <c r="M101" s="15">
        <v>18429.5</v>
      </c>
    </row>
    <row r="102" spans="1:13" s="1" customFormat="1" ht="12.75" x14ac:dyDescent="0.15">
      <c r="A102" s="13">
        <v>43952</v>
      </c>
      <c r="B102" s="14">
        <v>64351</v>
      </c>
      <c r="C102" s="15">
        <f>SUM(B102*B94)</f>
        <v>241316.25</v>
      </c>
      <c r="D102" s="14">
        <v>1443</v>
      </c>
      <c r="E102" s="15">
        <v>14425.5</v>
      </c>
      <c r="F102" s="14">
        <v>1607</v>
      </c>
      <c r="G102" s="15">
        <v>22627.5</v>
      </c>
      <c r="H102" s="14">
        <v>52</v>
      </c>
      <c r="I102" s="15">
        <v>828.75</v>
      </c>
      <c r="J102" s="14">
        <v>9396</v>
      </c>
      <c r="K102" s="15">
        <v>186733.25</v>
      </c>
      <c r="L102" s="14">
        <v>910</v>
      </c>
      <c r="M102" s="15">
        <v>21427</v>
      </c>
    </row>
    <row r="103" spans="1:13" s="1" customFormat="1" ht="12.75" x14ac:dyDescent="0.15">
      <c r="A103" s="13">
        <v>43983</v>
      </c>
      <c r="B103" s="14">
        <v>65737</v>
      </c>
      <c r="C103" s="15">
        <f>SUM(B103*B94)</f>
        <v>246513.75</v>
      </c>
      <c r="D103" s="14">
        <v>1862</v>
      </c>
      <c r="E103" s="15">
        <v>18523</v>
      </c>
      <c r="F103" s="14">
        <v>1656</v>
      </c>
      <c r="G103" s="15">
        <v>23178</v>
      </c>
      <c r="H103" s="14">
        <v>44</v>
      </c>
      <c r="I103" s="15">
        <v>689</v>
      </c>
      <c r="J103" s="14">
        <v>14271</v>
      </c>
      <c r="K103" s="15">
        <v>282760.5</v>
      </c>
      <c r="L103" s="14">
        <v>1017</v>
      </c>
      <c r="M103" s="15">
        <v>24077.5</v>
      </c>
    </row>
    <row r="104" spans="1:13" s="1" customFormat="1" ht="12.75" x14ac:dyDescent="0.15">
      <c r="A104" s="13">
        <v>44013</v>
      </c>
      <c r="B104" s="14">
        <v>59437</v>
      </c>
      <c r="C104" s="15">
        <f>SUM(B104*B94)</f>
        <v>222888.75</v>
      </c>
      <c r="D104" s="14">
        <v>2044</v>
      </c>
      <c r="E104" s="15">
        <v>20436.5</v>
      </c>
      <c r="F104" s="14">
        <v>1793</v>
      </c>
      <c r="G104" s="15">
        <v>25027.5</v>
      </c>
      <c r="H104" s="14">
        <v>49</v>
      </c>
      <c r="I104" s="15">
        <v>777</v>
      </c>
      <c r="J104" s="14">
        <v>15466</v>
      </c>
      <c r="K104" s="15">
        <v>307034.75</v>
      </c>
      <c r="L104" s="14">
        <v>1028</v>
      </c>
      <c r="M104" s="15">
        <v>24329.75</v>
      </c>
    </row>
    <row r="105" spans="1:13" s="1" customFormat="1" ht="12.75" x14ac:dyDescent="0.15">
      <c r="A105" s="13">
        <v>44044</v>
      </c>
      <c r="B105" s="14">
        <v>67457</v>
      </c>
      <c r="C105" s="15">
        <f>SUM(B105*B94)</f>
        <v>252963.75</v>
      </c>
      <c r="D105" s="14">
        <v>1932</v>
      </c>
      <c r="E105" s="15">
        <v>19233</v>
      </c>
      <c r="F105" s="14">
        <v>1943</v>
      </c>
      <c r="G105" s="15">
        <v>27066</v>
      </c>
      <c r="H105" s="14">
        <v>61</v>
      </c>
      <c r="I105" s="15">
        <v>956</v>
      </c>
      <c r="J105" s="14">
        <v>15466</v>
      </c>
      <c r="K105" s="15">
        <v>306212.5</v>
      </c>
      <c r="L105" s="14">
        <v>946</v>
      </c>
      <c r="M105" s="15">
        <v>22372.5</v>
      </c>
    </row>
    <row r="106" spans="1:13" s="1" customFormat="1" ht="12.75" x14ac:dyDescent="0.15">
      <c r="A106" s="13">
        <v>44075</v>
      </c>
      <c r="B106" s="14">
        <v>65984</v>
      </c>
      <c r="C106" s="15">
        <f>B106*B94</f>
        <v>247440</v>
      </c>
      <c r="D106" s="14">
        <v>2135</v>
      </c>
      <c r="E106" s="15">
        <v>21278.5</v>
      </c>
      <c r="F106" s="14">
        <v>1926</v>
      </c>
      <c r="G106" s="15">
        <v>26791.5</v>
      </c>
      <c r="H106" s="14">
        <v>41</v>
      </c>
      <c r="I106" s="15">
        <v>644.25</v>
      </c>
      <c r="J106" s="14">
        <v>16253</v>
      </c>
      <c r="K106" s="15">
        <v>322231.25</v>
      </c>
      <c r="L106" s="14">
        <v>1205</v>
      </c>
      <c r="M106" s="15">
        <v>28721.5</v>
      </c>
    </row>
    <row r="107" spans="1:13" s="1" customFormat="1" ht="13.5" thickBot="1" x14ac:dyDescent="0.2">
      <c r="A107" s="16" t="s">
        <v>43</v>
      </c>
      <c r="B107" s="17">
        <f t="shared" ref="B107:M107" si="6">SUM(B95:B106)</f>
        <v>1083438</v>
      </c>
      <c r="C107" s="18">
        <f t="shared" si="6"/>
        <v>4062892.5</v>
      </c>
      <c r="D107" s="17">
        <f t="shared" si="6"/>
        <v>22730</v>
      </c>
      <c r="E107" s="18">
        <f t="shared" si="6"/>
        <v>226709.5</v>
      </c>
      <c r="F107" s="17">
        <f t="shared" si="6"/>
        <v>21785</v>
      </c>
      <c r="G107" s="18">
        <f t="shared" si="6"/>
        <v>303279</v>
      </c>
      <c r="H107" s="17">
        <f t="shared" si="6"/>
        <v>512</v>
      </c>
      <c r="I107" s="18">
        <f t="shared" si="6"/>
        <v>8105.75</v>
      </c>
      <c r="J107" s="17">
        <f t="shared" si="6"/>
        <v>176747</v>
      </c>
      <c r="K107" s="18">
        <f t="shared" si="6"/>
        <v>3506489.25</v>
      </c>
      <c r="L107" s="17">
        <f t="shared" si="6"/>
        <v>11518</v>
      </c>
      <c r="M107" s="18">
        <f t="shared" si="6"/>
        <v>273201</v>
      </c>
    </row>
    <row r="108" spans="1:13" s="1" customFormat="1" ht="12.75" thickBot="1" x14ac:dyDescent="0.2"/>
    <row r="109" spans="1:13" s="1" customFormat="1" ht="12.75" x14ac:dyDescent="0.15">
      <c r="A109" s="5" t="s">
        <v>3</v>
      </c>
      <c r="B109" s="6" t="s">
        <v>19</v>
      </c>
      <c r="C109" s="6" t="s">
        <v>20</v>
      </c>
      <c r="D109" s="6" t="s">
        <v>21</v>
      </c>
      <c r="E109" s="6" t="s">
        <v>22</v>
      </c>
      <c r="F109" s="6" t="s">
        <v>23</v>
      </c>
      <c r="G109" s="6" t="s">
        <v>24</v>
      </c>
      <c r="H109" s="6" t="s">
        <v>25</v>
      </c>
      <c r="I109" s="6" t="s">
        <v>26</v>
      </c>
      <c r="J109" s="6" t="s">
        <v>27</v>
      </c>
      <c r="K109" s="6" t="s">
        <v>28</v>
      </c>
      <c r="L109" s="6" t="s">
        <v>29</v>
      </c>
      <c r="M109" s="6" t="s">
        <v>29</v>
      </c>
    </row>
    <row r="110" spans="1:13" s="1" customFormat="1" ht="13.5" thickBot="1" x14ac:dyDescent="0.2">
      <c r="A110" s="8" t="s">
        <v>16</v>
      </c>
      <c r="B110" s="9">
        <v>1</v>
      </c>
      <c r="C110" s="10" t="s">
        <v>17</v>
      </c>
      <c r="D110" s="9" t="s">
        <v>30</v>
      </c>
      <c r="E110" s="10" t="s">
        <v>17</v>
      </c>
      <c r="F110" s="9">
        <v>10</v>
      </c>
      <c r="G110" s="10" t="s">
        <v>17</v>
      </c>
      <c r="H110" s="9">
        <v>1</v>
      </c>
      <c r="I110" s="10" t="s">
        <v>17</v>
      </c>
      <c r="J110" s="10"/>
      <c r="K110" s="10" t="s">
        <v>17</v>
      </c>
      <c r="L110" s="10" t="s">
        <v>31</v>
      </c>
      <c r="M110" s="10" t="s">
        <v>32</v>
      </c>
    </row>
    <row r="111" spans="1:13" s="1" customFormat="1" ht="12.75" x14ac:dyDescent="0.15">
      <c r="A111" s="13">
        <v>43739</v>
      </c>
      <c r="B111" s="14">
        <v>1038</v>
      </c>
      <c r="C111" s="20">
        <f>SUM(B111*B110)</f>
        <v>1038</v>
      </c>
      <c r="D111" s="14">
        <v>0</v>
      </c>
      <c r="E111" s="20">
        <v>0</v>
      </c>
      <c r="F111" s="14">
        <v>12</v>
      </c>
      <c r="G111" s="20">
        <f>F111*F110</f>
        <v>120</v>
      </c>
      <c r="H111" s="14">
        <v>103</v>
      </c>
      <c r="I111" s="20">
        <f>SUM(H111*H110)</f>
        <v>103</v>
      </c>
      <c r="J111" s="14">
        <f>12+193+271</f>
        <v>476</v>
      </c>
      <c r="K111" s="20">
        <f>968+579+948.5+2792.26+4</f>
        <v>5291.76</v>
      </c>
      <c r="L111" s="21">
        <f t="shared" ref="L111:M122" si="7">B95+D95+F95+H95+J95+L95+B111+D111+F111+H111+J111</f>
        <v>147751</v>
      </c>
      <c r="M111" s="22">
        <f t="shared" si="7"/>
        <v>892853.26</v>
      </c>
    </row>
    <row r="112" spans="1:13" s="1" customFormat="1" ht="12.75" x14ac:dyDescent="0.15">
      <c r="A112" s="13">
        <v>43770</v>
      </c>
      <c r="B112" s="14">
        <v>924</v>
      </c>
      <c r="C112" s="20">
        <f>SUM(B112*B110)</f>
        <v>924</v>
      </c>
      <c r="D112" s="14">
        <v>0</v>
      </c>
      <c r="E112" s="20">
        <v>0</v>
      </c>
      <c r="F112" s="14">
        <v>8</v>
      </c>
      <c r="G112" s="20">
        <f>F112*F110</f>
        <v>80</v>
      </c>
      <c r="H112" s="14">
        <v>124</v>
      </c>
      <c r="I112" s="20">
        <f>SUM(H112*H110)</f>
        <v>124</v>
      </c>
      <c r="J112" s="14">
        <f>8+206+222</f>
        <v>436</v>
      </c>
      <c r="K112" s="20">
        <f>271.5+618+777+2754.81+10</f>
        <v>4431.3099999999995</v>
      </c>
      <c r="L112" s="21">
        <f t="shared" si="7"/>
        <v>141846</v>
      </c>
      <c r="M112" s="22">
        <f t="shared" si="7"/>
        <v>827825.81</v>
      </c>
    </row>
    <row r="113" spans="1:13" s="1" customFormat="1" ht="12.75" x14ac:dyDescent="0.15">
      <c r="A113" s="13">
        <v>43800</v>
      </c>
      <c r="B113" s="14">
        <v>964</v>
      </c>
      <c r="C113" s="20">
        <f>SUM(B113*B110)</f>
        <v>964</v>
      </c>
      <c r="D113" s="14">
        <v>0</v>
      </c>
      <c r="E113" s="20">
        <v>0</v>
      </c>
      <c r="F113" s="14">
        <v>9</v>
      </c>
      <c r="G113" s="20">
        <f>F113*F110</f>
        <v>90</v>
      </c>
      <c r="H113" s="14">
        <v>269</v>
      </c>
      <c r="I113" s="20">
        <f>SUM(H113*H110)</f>
        <v>269</v>
      </c>
      <c r="J113" s="14">
        <f>2+470+233</f>
        <v>705</v>
      </c>
      <c r="K113" s="20">
        <f>67+1410+815.5+3064.48+26.08</f>
        <v>5383.0599999999995</v>
      </c>
      <c r="L113" s="21">
        <f t="shared" si="7"/>
        <v>151110</v>
      </c>
      <c r="M113" s="22">
        <f t="shared" si="7"/>
        <v>852509.81</v>
      </c>
    </row>
    <row r="114" spans="1:13" s="1" customFormat="1" ht="12.75" x14ac:dyDescent="0.15">
      <c r="A114" s="13">
        <v>43831</v>
      </c>
      <c r="B114" s="14">
        <v>992</v>
      </c>
      <c r="C114" s="20">
        <f>SUM(B114*B110)</f>
        <v>992</v>
      </c>
      <c r="D114" s="14">
        <v>0</v>
      </c>
      <c r="E114" s="20">
        <v>0</v>
      </c>
      <c r="F114" s="14">
        <v>3</v>
      </c>
      <c r="G114" s="20">
        <f>F114*F110</f>
        <v>30</v>
      </c>
      <c r="H114" s="14">
        <v>177</v>
      </c>
      <c r="I114" s="20">
        <f>SUM(H114*H110)</f>
        <v>177</v>
      </c>
      <c r="J114" s="14">
        <f>3+235+237</f>
        <v>475</v>
      </c>
      <c r="K114" s="20">
        <f>107.5+705+829.5+32+2709.95</f>
        <v>4383.95</v>
      </c>
      <c r="L114" s="21">
        <f t="shared" si="7"/>
        <v>146564</v>
      </c>
      <c r="M114" s="22">
        <f t="shared" si="7"/>
        <v>883442.95</v>
      </c>
    </row>
    <row r="115" spans="1:13" s="1" customFormat="1" ht="12.75" x14ac:dyDescent="0.15">
      <c r="A115" s="13">
        <v>43862</v>
      </c>
      <c r="B115" s="14">
        <v>899</v>
      </c>
      <c r="C115" s="20">
        <f>SUM(B115*B110)</f>
        <v>899</v>
      </c>
      <c r="D115" s="14">
        <v>0</v>
      </c>
      <c r="E115" s="20">
        <v>0</v>
      </c>
      <c r="F115" s="14">
        <v>11</v>
      </c>
      <c r="G115" s="20">
        <f>F115*F110</f>
        <v>110</v>
      </c>
      <c r="H115" s="14">
        <v>145</v>
      </c>
      <c r="I115" s="20">
        <f>SUM(H115*H110)</f>
        <v>145</v>
      </c>
      <c r="J115" s="14">
        <f>6+215+279</f>
        <v>500</v>
      </c>
      <c r="K115" s="20">
        <f>554+645+976.5+2661.08+107</f>
        <v>4943.58</v>
      </c>
      <c r="L115" s="21">
        <f t="shared" si="7"/>
        <v>143645</v>
      </c>
      <c r="M115" s="22">
        <f t="shared" si="7"/>
        <v>842983.33</v>
      </c>
    </row>
    <row r="116" spans="1:13" s="1" customFormat="1" ht="12.75" x14ac:dyDescent="0.15">
      <c r="A116" s="13">
        <v>43891</v>
      </c>
      <c r="B116" s="14">
        <v>1123</v>
      </c>
      <c r="C116" s="20">
        <f>SUM(B116*B110)</f>
        <v>1123</v>
      </c>
      <c r="D116" s="14">
        <v>0</v>
      </c>
      <c r="E116" s="20">
        <v>0</v>
      </c>
      <c r="F116" s="14">
        <v>4</v>
      </c>
      <c r="G116" s="20">
        <f>F116*F110</f>
        <v>40</v>
      </c>
      <c r="H116" s="14">
        <v>247</v>
      </c>
      <c r="I116" s="20">
        <f>SUM(H116*H110)</f>
        <v>247</v>
      </c>
      <c r="J116" s="14">
        <f>1+180+259</f>
        <v>440</v>
      </c>
      <c r="K116" s="20">
        <f>30+540+906.5+1184.21</f>
        <v>2660.71</v>
      </c>
      <c r="L116" s="21">
        <f t="shared" si="7"/>
        <v>123260</v>
      </c>
      <c r="M116" s="22">
        <f t="shared" si="7"/>
        <v>768319.21</v>
      </c>
    </row>
    <row r="117" spans="1:13" s="1" customFormat="1" ht="12.75" x14ac:dyDescent="0.15">
      <c r="A117" s="13">
        <v>43922</v>
      </c>
      <c r="B117" s="14">
        <v>582</v>
      </c>
      <c r="C117" s="20">
        <f>SUM(B117*B110)</f>
        <v>582</v>
      </c>
      <c r="D117" s="14">
        <v>0</v>
      </c>
      <c r="E117" s="20">
        <v>0</v>
      </c>
      <c r="F117" s="14">
        <v>1</v>
      </c>
      <c r="G117" s="20">
        <f>F117*F110</f>
        <v>10</v>
      </c>
      <c r="H117" s="14">
        <v>77</v>
      </c>
      <c r="I117" s="20">
        <f>SUM(H117*H110)</f>
        <v>77</v>
      </c>
      <c r="J117" s="14">
        <f>74+112</f>
        <v>186</v>
      </c>
      <c r="K117" s="20">
        <f>67+216+392+378.46+24.47</f>
        <v>1077.93</v>
      </c>
      <c r="L117" s="21">
        <f t="shared" si="7"/>
        <v>55972</v>
      </c>
      <c r="M117" s="22">
        <f t="shared" si="7"/>
        <v>389553.93</v>
      </c>
    </row>
    <row r="118" spans="1:13" s="1" customFormat="1" ht="12.75" x14ac:dyDescent="0.15">
      <c r="A118" s="13">
        <v>43952</v>
      </c>
      <c r="B118" s="14">
        <v>1140</v>
      </c>
      <c r="C118" s="20">
        <f>SUM(B118*B110)</f>
        <v>1140</v>
      </c>
      <c r="D118" s="14">
        <v>0</v>
      </c>
      <c r="E118" s="20">
        <v>0</v>
      </c>
      <c r="F118" s="14">
        <v>2</v>
      </c>
      <c r="G118" s="20">
        <f>F118*F110</f>
        <v>20</v>
      </c>
      <c r="H118" s="14">
        <v>133</v>
      </c>
      <c r="I118" s="20">
        <f>SUM(H118*H110)</f>
        <v>133</v>
      </c>
      <c r="J118" s="14">
        <f>6+116+131</f>
        <v>253</v>
      </c>
      <c r="K118" s="20">
        <f>285+348+458.5+726.19</f>
        <v>1817.69</v>
      </c>
      <c r="L118" s="21">
        <f t="shared" si="7"/>
        <v>79287</v>
      </c>
      <c r="M118" s="22">
        <f t="shared" si="7"/>
        <v>490468.94</v>
      </c>
    </row>
    <row r="119" spans="1:13" s="1" customFormat="1" ht="12.75" x14ac:dyDescent="0.15">
      <c r="A119" s="13">
        <v>43983</v>
      </c>
      <c r="B119" s="14">
        <v>1251</v>
      </c>
      <c r="C119" s="20">
        <f>SUM(B119*B110)</f>
        <v>1251</v>
      </c>
      <c r="D119" s="14">
        <v>0</v>
      </c>
      <c r="E119" s="20">
        <v>0</v>
      </c>
      <c r="F119" s="14">
        <v>3</v>
      </c>
      <c r="G119" s="20">
        <f>F119*F110</f>
        <v>30</v>
      </c>
      <c r="H119" s="14">
        <v>157</v>
      </c>
      <c r="I119" s="20">
        <f>SUM(H119*H110)</f>
        <v>157</v>
      </c>
      <c r="J119" s="14">
        <f>178+123</f>
        <v>301</v>
      </c>
      <c r="K119" s="20">
        <f>534+430.5+715.77+1.79</f>
        <v>1682.06</v>
      </c>
      <c r="L119" s="21">
        <f t="shared" si="7"/>
        <v>86299</v>
      </c>
      <c r="M119" s="22">
        <f t="shared" si="7"/>
        <v>598861.81000000006</v>
      </c>
    </row>
    <row r="120" spans="1:13" s="1" customFormat="1" ht="12.75" x14ac:dyDescent="0.15">
      <c r="A120" s="13">
        <v>44013</v>
      </c>
      <c r="B120" s="14">
        <v>1311</v>
      </c>
      <c r="C120" s="20">
        <f>SUM(B120*B110)</f>
        <v>1311</v>
      </c>
      <c r="D120" s="14">
        <v>0</v>
      </c>
      <c r="E120" s="20">
        <v>0</v>
      </c>
      <c r="F120" s="14">
        <v>1</v>
      </c>
      <c r="G120" s="20">
        <f>F120*F110</f>
        <v>10</v>
      </c>
      <c r="H120" s="14">
        <v>145</v>
      </c>
      <c r="I120" s="20">
        <f>SUM(H120*H110)</f>
        <v>145</v>
      </c>
      <c r="J120" s="14">
        <f>199+110</f>
        <v>309</v>
      </c>
      <c r="K120" s="20">
        <f>37+594+385+18.79+760.59</f>
        <v>1795.38</v>
      </c>
      <c r="L120" s="21">
        <f t="shared" si="7"/>
        <v>81583</v>
      </c>
      <c r="M120" s="22">
        <f t="shared" si="7"/>
        <v>603755.63</v>
      </c>
    </row>
    <row r="121" spans="1:13" s="1" customFormat="1" ht="12.75" x14ac:dyDescent="0.15">
      <c r="A121" s="13">
        <v>44044</v>
      </c>
      <c r="B121" s="14">
        <v>1355</v>
      </c>
      <c r="C121" s="20">
        <f>SUM(B121*B110)</f>
        <v>1355</v>
      </c>
      <c r="D121" s="14">
        <v>0</v>
      </c>
      <c r="E121" s="20">
        <v>0</v>
      </c>
      <c r="F121" s="14">
        <v>0</v>
      </c>
      <c r="G121" s="20">
        <f>F121*F110</f>
        <v>0</v>
      </c>
      <c r="H121" s="14">
        <v>111</v>
      </c>
      <c r="I121" s="20">
        <f>SUM(H121*H110)</f>
        <v>111</v>
      </c>
      <c r="J121" s="14">
        <f>2+219+149</f>
        <v>370</v>
      </c>
      <c r="K121" s="20">
        <f>67+657+521.5+760.29</f>
        <v>2005.79</v>
      </c>
      <c r="L121" s="21">
        <f t="shared" si="7"/>
        <v>89641</v>
      </c>
      <c r="M121" s="22">
        <f t="shared" si="7"/>
        <v>632275.54</v>
      </c>
    </row>
    <row r="122" spans="1:13" s="1" customFormat="1" ht="12.75" x14ac:dyDescent="0.15">
      <c r="A122" s="13">
        <v>44075</v>
      </c>
      <c r="B122" s="14">
        <v>1541</v>
      </c>
      <c r="C122" s="20">
        <f>SUM(B122*B110)</f>
        <v>1541</v>
      </c>
      <c r="D122" s="14">
        <v>0</v>
      </c>
      <c r="E122" s="20">
        <v>0</v>
      </c>
      <c r="F122" s="14">
        <v>1</v>
      </c>
      <c r="G122" s="20">
        <f>F122*F110</f>
        <v>10</v>
      </c>
      <c r="H122" s="14">
        <v>181</v>
      </c>
      <c r="I122" s="20">
        <f>SUM(H122*H110)</f>
        <v>181</v>
      </c>
      <c r="J122" s="14">
        <f>3+167+188</f>
        <v>358</v>
      </c>
      <c r="K122" s="20">
        <f>97+501+658+773.53+25</f>
        <v>2054.5299999999997</v>
      </c>
      <c r="L122" s="21">
        <f t="shared" si="7"/>
        <v>89625</v>
      </c>
      <c r="M122" s="22">
        <f t="shared" si="7"/>
        <v>650893.53</v>
      </c>
    </row>
    <row r="123" spans="1:13" s="1" customFormat="1" ht="13.5" thickBot="1" x14ac:dyDescent="0.2">
      <c r="A123" s="16" t="s">
        <v>43</v>
      </c>
      <c r="B123" s="17">
        <f t="shared" ref="B123:M123" si="8">SUM(B111:B122)</f>
        <v>13120</v>
      </c>
      <c r="C123" s="23">
        <f t="shared" si="8"/>
        <v>13120</v>
      </c>
      <c r="D123" s="19">
        <f t="shared" si="8"/>
        <v>0</v>
      </c>
      <c r="E123" s="23">
        <f t="shared" si="8"/>
        <v>0</v>
      </c>
      <c r="F123" s="19">
        <f t="shared" si="8"/>
        <v>55</v>
      </c>
      <c r="G123" s="23">
        <f t="shared" si="8"/>
        <v>550</v>
      </c>
      <c r="H123" s="19">
        <f t="shared" si="8"/>
        <v>1869</v>
      </c>
      <c r="I123" s="23">
        <f t="shared" si="8"/>
        <v>1869</v>
      </c>
      <c r="J123" s="17">
        <f t="shared" si="8"/>
        <v>4809</v>
      </c>
      <c r="K123" s="23">
        <f t="shared" si="8"/>
        <v>37527.749999999993</v>
      </c>
      <c r="L123" s="24">
        <f t="shared" si="8"/>
        <v>1336583</v>
      </c>
      <c r="M123" s="25">
        <f t="shared" si="8"/>
        <v>8433743.75</v>
      </c>
    </row>
    <row r="124" spans="1:13" s="1" customFormat="1" x14ac:dyDescent="0.15"/>
    <row r="125" spans="1:13" s="1" customFormat="1" ht="15" customHeight="1" x14ac:dyDescent="0.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s="1" customFormat="1" x14ac:dyDescent="0.15">
      <c r="A126" s="26"/>
    </row>
    <row r="127" spans="1:13" s="1" customFormat="1" ht="15.75" x14ac:dyDescent="0.15">
      <c r="A127" s="3" t="s">
        <v>33</v>
      </c>
    </row>
    <row r="128" spans="1:13" s="1" customFormat="1" ht="17.25" customHeight="1" x14ac:dyDescent="0.15">
      <c r="A128" s="28" t="s">
        <v>36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s="1" customFormat="1" ht="17.25" customHeight="1" x14ac:dyDescent="0.15">
      <c r="A129" s="29" t="s">
        <v>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s="1" customFormat="1" ht="17.2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1" customFormat="1" ht="17.25" customHeight="1" x14ac:dyDescent="0.15"/>
    <row r="132" spans="1:13" s="1" customFormat="1" ht="17.25" customHeight="1" x14ac:dyDescent="0.15"/>
    <row r="133" spans="1:13" s="1" customFormat="1" ht="13.5" customHeight="1" x14ac:dyDescent="0.15">
      <c r="A133" s="3" t="s">
        <v>37</v>
      </c>
      <c r="B133" s="4"/>
      <c r="C133" s="4"/>
      <c r="D133" s="4"/>
      <c r="E133" s="3"/>
      <c r="F133" s="4"/>
      <c r="G133" s="4"/>
      <c r="H133" s="4"/>
      <c r="I133" s="4"/>
      <c r="L133" s="4"/>
      <c r="M133" s="4"/>
    </row>
    <row r="134" spans="1:13" ht="13.5" thickBo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2.75" x14ac:dyDescent="0.15">
      <c r="A135" s="5" t="s">
        <v>3</v>
      </c>
      <c r="B135" s="6" t="s">
        <v>4</v>
      </c>
      <c r="C135" s="6" t="s">
        <v>5</v>
      </c>
      <c r="D135" s="6" t="s">
        <v>6</v>
      </c>
      <c r="E135" s="6" t="s">
        <v>7</v>
      </c>
      <c r="F135" s="6" t="s">
        <v>8</v>
      </c>
      <c r="G135" s="7" t="s">
        <v>9</v>
      </c>
      <c r="H135" s="6" t="s">
        <v>10</v>
      </c>
      <c r="I135" s="7" t="s">
        <v>11</v>
      </c>
      <c r="J135" s="6" t="s">
        <v>12</v>
      </c>
      <c r="K135" s="7" t="s">
        <v>13</v>
      </c>
      <c r="L135" s="5" t="s">
        <v>14</v>
      </c>
      <c r="M135" s="6" t="s">
        <v>15</v>
      </c>
    </row>
    <row r="136" spans="1:13" ht="13.5" thickBot="1" x14ac:dyDescent="0.2">
      <c r="A136" s="8" t="s">
        <v>16</v>
      </c>
      <c r="B136" s="9">
        <v>3.75</v>
      </c>
      <c r="C136" s="10" t="s">
        <v>17</v>
      </c>
      <c r="D136" s="9" t="s">
        <v>38</v>
      </c>
      <c r="E136" s="10" t="s">
        <v>17</v>
      </c>
      <c r="F136" s="9" t="s">
        <v>39</v>
      </c>
      <c r="G136" s="11" t="s">
        <v>17</v>
      </c>
      <c r="H136" s="27" t="s">
        <v>40</v>
      </c>
      <c r="I136" s="11" t="s">
        <v>17</v>
      </c>
      <c r="J136" s="9" t="s">
        <v>41</v>
      </c>
      <c r="K136" s="11" t="s">
        <v>17</v>
      </c>
      <c r="L136" s="12" t="s">
        <v>42</v>
      </c>
      <c r="M136" s="10" t="s">
        <v>17</v>
      </c>
    </row>
    <row r="137" spans="1:13" ht="12.75" x14ac:dyDescent="0.15">
      <c r="A137" s="13">
        <v>43739</v>
      </c>
      <c r="B137" s="14">
        <f t="shared" ref="B137:M148" si="9">B11+B53+B95</f>
        <v>254668</v>
      </c>
      <c r="C137" s="15">
        <f t="shared" si="9"/>
        <v>955005</v>
      </c>
      <c r="D137" s="14">
        <f t="shared" si="9"/>
        <v>2348</v>
      </c>
      <c r="E137" s="15">
        <f t="shared" si="9"/>
        <v>23492.5</v>
      </c>
      <c r="F137" s="14">
        <f t="shared" si="9"/>
        <v>2826</v>
      </c>
      <c r="G137" s="15">
        <f t="shared" si="9"/>
        <v>39891</v>
      </c>
      <c r="H137" s="14">
        <f t="shared" si="9"/>
        <v>62</v>
      </c>
      <c r="I137" s="15">
        <f t="shared" si="9"/>
        <v>1011.75</v>
      </c>
      <c r="J137" s="14">
        <f t="shared" si="9"/>
        <v>18029</v>
      </c>
      <c r="K137" s="15">
        <f t="shared" si="9"/>
        <v>358701.75</v>
      </c>
      <c r="L137" s="14">
        <f t="shared" si="9"/>
        <v>1353</v>
      </c>
      <c r="M137" s="15">
        <f t="shared" si="9"/>
        <v>32094.25</v>
      </c>
    </row>
    <row r="138" spans="1:13" ht="12.75" x14ac:dyDescent="0.15">
      <c r="A138" s="13">
        <v>43770</v>
      </c>
      <c r="B138" s="14">
        <f t="shared" si="9"/>
        <v>257015</v>
      </c>
      <c r="C138" s="15">
        <f t="shared" si="9"/>
        <v>963806.25</v>
      </c>
      <c r="D138" s="14">
        <f t="shared" si="9"/>
        <v>1992</v>
      </c>
      <c r="E138" s="15">
        <f t="shared" si="9"/>
        <v>19905</v>
      </c>
      <c r="F138" s="14">
        <f t="shared" si="9"/>
        <v>2812</v>
      </c>
      <c r="G138" s="15">
        <f t="shared" si="9"/>
        <v>39892.5</v>
      </c>
      <c r="H138" s="14">
        <f t="shared" si="9"/>
        <v>43</v>
      </c>
      <c r="I138" s="15">
        <f t="shared" si="9"/>
        <v>710.25</v>
      </c>
      <c r="J138" s="14">
        <f t="shared" si="9"/>
        <v>16008</v>
      </c>
      <c r="K138" s="15">
        <f t="shared" si="9"/>
        <v>317328</v>
      </c>
      <c r="L138" s="14">
        <f t="shared" si="9"/>
        <v>982</v>
      </c>
      <c r="M138" s="15">
        <f t="shared" si="9"/>
        <v>23379.25</v>
      </c>
    </row>
    <row r="139" spans="1:13" ht="12.75" x14ac:dyDescent="0.15">
      <c r="A139" s="13">
        <v>43800</v>
      </c>
      <c r="B139" s="14">
        <f t="shared" si="9"/>
        <v>276023</v>
      </c>
      <c r="C139" s="15">
        <f t="shared" si="9"/>
        <v>1035086.25</v>
      </c>
      <c r="D139" s="14">
        <f t="shared" si="9"/>
        <v>1935</v>
      </c>
      <c r="E139" s="15">
        <f t="shared" si="9"/>
        <v>19348.5</v>
      </c>
      <c r="F139" s="14">
        <f t="shared" si="9"/>
        <v>2586</v>
      </c>
      <c r="G139" s="15">
        <f t="shared" si="9"/>
        <v>36544.5</v>
      </c>
      <c r="H139" s="14">
        <f t="shared" si="9"/>
        <v>27</v>
      </c>
      <c r="I139" s="15">
        <f t="shared" si="9"/>
        <v>436</v>
      </c>
      <c r="J139" s="14">
        <f t="shared" si="9"/>
        <v>15412</v>
      </c>
      <c r="K139" s="15">
        <f t="shared" si="9"/>
        <v>306770.75</v>
      </c>
      <c r="L139" s="14">
        <f t="shared" si="9"/>
        <v>831</v>
      </c>
      <c r="M139" s="15">
        <f t="shared" si="9"/>
        <v>19884.25</v>
      </c>
    </row>
    <row r="140" spans="1:13" ht="12.75" x14ac:dyDescent="0.15">
      <c r="A140" s="13">
        <v>43831</v>
      </c>
      <c r="B140" s="14">
        <f t="shared" si="9"/>
        <v>250822</v>
      </c>
      <c r="C140" s="15">
        <f t="shared" si="9"/>
        <v>940582.5</v>
      </c>
      <c r="D140" s="14">
        <f t="shared" si="9"/>
        <v>2172</v>
      </c>
      <c r="E140" s="15">
        <f t="shared" si="9"/>
        <v>21681</v>
      </c>
      <c r="F140" s="14">
        <f t="shared" si="9"/>
        <v>2729</v>
      </c>
      <c r="G140" s="15">
        <f t="shared" si="9"/>
        <v>38659.5</v>
      </c>
      <c r="H140" s="14">
        <f t="shared" si="9"/>
        <v>37</v>
      </c>
      <c r="I140" s="15">
        <f t="shared" si="9"/>
        <v>584</v>
      </c>
      <c r="J140" s="14">
        <f t="shared" si="9"/>
        <v>18373</v>
      </c>
      <c r="K140" s="15">
        <f t="shared" si="9"/>
        <v>365750</v>
      </c>
      <c r="L140" s="14">
        <f t="shared" si="9"/>
        <v>922</v>
      </c>
      <c r="M140" s="15">
        <f t="shared" si="9"/>
        <v>22000</v>
      </c>
    </row>
    <row r="141" spans="1:13" ht="12.75" x14ac:dyDescent="0.15">
      <c r="A141" s="13">
        <v>43862</v>
      </c>
      <c r="B141" s="14">
        <f t="shared" si="9"/>
        <v>240468</v>
      </c>
      <c r="C141" s="15">
        <f t="shared" si="9"/>
        <v>901755</v>
      </c>
      <c r="D141" s="14">
        <f t="shared" si="9"/>
        <v>2059</v>
      </c>
      <c r="E141" s="15">
        <f t="shared" si="9"/>
        <v>20565.5</v>
      </c>
      <c r="F141" s="14">
        <f t="shared" si="9"/>
        <v>2430</v>
      </c>
      <c r="G141" s="15">
        <f t="shared" si="9"/>
        <v>34381.5</v>
      </c>
      <c r="H141" s="14">
        <f t="shared" si="9"/>
        <v>56</v>
      </c>
      <c r="I141" s="15">
        <f t="shared" si="9"/>
        <v>889</v>
      </c>
      <c r="J141" s="14">
        <f t="shared" si="9"/>
        <v>16811</v>
      </c>
      <c r="K141" s="15">
        <f t="shared" si="9"/>
        <v>333693.25</v>
      </c>
      <c r="L141" s="14">
        <f t="shared" si="9"/>
        <v>862</v>
      </c>
      <c r="M141" s="15">
        <f t="shared" si="9"/>
        <v>20592.75</v>
      </c>
    </row>
    <row r="142" spans="1:13" ht="12.75" x14ac:dyDescent="0.15">
      <c r="A142" s="13">
        <v>43891</v>
      </c>
      <c r="B142" s="14">
        <f t="shared" si="9"/>
        <v>205042</v>
      </c>
      <c r="C142" s="15">
        <f t="shared" si="9"/>
        <v>768907.5</v>
      </c>
      <c r="D142" s="14">
        <f t="shared" si="9"/>
        <v>2106</v>
      </c>
      <c r="E142" s="15">
        <f t="shared" si="9"/>
        <v>21024</v>
      </c>
      <c r="F142" s="14">
        <f t="shared" si="9"/>
        <v>2763</v>
      </c>
      <c r="G142" s="15">
        <f t="shared" si="9"/>
        <v>38968.5</v>
      </c>
      <c r="H142" s="14">
        <f t="shared" si="9"/>
        <v>50</v>
      </c>
      <c r="I142" s="15">
        <f t="shared" si="9"/>
        <v>792.5</v>
      </c>
      <c r="J142" s="14">
        <f t="shared" si="9"/>
        <v>16770</v>
      </c>
      <c r="K142" s="15">
        <f t="shared" si="9"/>
        <v>332290.75</v>
      </c>
      <c r="L142" s="14">
        <f t="shared" si="9"/>
        <v>1065</v>
      </c>
      <c r="M142" s="15">
        <f t="shared" si="9"/>
        <v>25226.75</v>
      </c>
    </row>
    <row r="143" spans="1:13" ht="12.75" x14ac:dyDescent="0.15">
      <c r="A143" s="13">
        <v>43922</v>
      </c>
      <c r="B143" s="14">
        <f t="shared" si="9"/>
        <v>89194</v>
      </c>
      <c r="C143" s="15">
        <f t="shared" si="9"/>
        <v>334477.5</v>
      </c>
      <c r="D143" s="14">
        <f t="shared" si="9"/>
        <v>1404</v>
      </c>
      <c r="E143" s="15">
        <f t="shared" si="9"/>
        <v>14023.5</v>
      </c>
      <c r="F143" s="14">
        <f t="shared" si="9"/>
        <v>2064</v>
      </c>
      <c r="G143" s="15">
        <f t="shared" si="9"/>
        <v>29379</v>
      </c>
      <c r="H143" s="14">
        <f t="shared" si="9"/>
        <v>36</v>
      </c>
      <c r="I143" s="15">
        <f t="shared" si="9"/>
        <v>572</v>
      </c>
      <c r="J143" s="14">
        <f t="shared" si="9"/>
        <v>9017</v>
      </c>
      <c r="K143" s="15">
        <f t="shared" si="9"/>
        <v>179115.75</v>
      </c>
      <c r="L143" s="14">
        <f t="shared" si="9"/>
        <v>863</v>
      </c>
      <c r="M143" s="15">
        <f t="shared" si="9"/>
        <v>20360.5</v>
      </c>
    </row>
    <row r="144" spans="1:13" ht="12.75" x14ac:dyDescent="0.15">
      <c r="A144" s="13">
        <v>43952</v>
      </c>
      <c r="B144" s="14">
        <f t="shared" si="9"/>
        <v>139954</v>
      </c>
      <c r="C144" s="15">
        <f t="shared" si="9"/>
        <v>524827.5</v>
      </c>
      <c r="D144" s="14">
        <f t="shared" si="9"/>
        <v>1485</v>
      </c>
      <c r="E144" s="15">
        <f t="shared" si="9"/>
        <v>14856</v>
      </c>
      <c r="F144" s="14">
        <f t="shared" si="9"/>
        <v>2800</v>
      </c>
      <c r="G144" s="15">
        <f t="shared" si="9"/>
        <v>40411.5</v>
      </c>
      <c r="H144" s="14">
        <f t="shared" si="9"/>
        <v>58</v>
      </c>
      <c r="I144" s="15">
        <f t="shared" si="9"/>
        <v>927</v>
      </c>
      <c r="J144" s="14">
        <f t="shared" si="9"/>
        <v>9863</v>
      </c>
      <c r="K144" s="15">
        <f t="shared" si="9"/>
        <v>196691</v>
      </c>
      <c r="L144" s="14">
        <f t="shared" si="9"/>
        <v>1066</v>
      </c>
      <c r="M144" s="15">
        <f t="shared" si="9"/>
        <v>25201</v>
      </c>
    </row>
    <row r="145" spans="1:13" ht="12.75" x14ac:dyDescent="0.15">
      <c r="A145" s="13">
        <v>43983</v>
      </c>
      <c r="B145" s="14">
        <f t="shared" si="9"/>
        <v>147306</v>
      </c>
      <c r="C145" s="15">
        <f t="shared" si="9"/>
        <v>552397.5</v>
      </c>
      <c r="D145" s="14">
        <f t="shared" si="9"/>
        <v>1962</v>
      </c>
      <c r="E145" s="15">
        <f t="shared" si="9"/>
        <v>19555.5</v>
      </c>
      <c r="F145" s="14">
        <f t="shared" si="9"/>
        <v>2606</v>
      </c>
      <c r="G145" s="15">
        <f t="shared" si="9"/>
        <v>37315.5</v>
      </c>
      <c r="H145" s="14">
        <f t="shared" si="9"/>
        <v>55</v>
      </c>
      <c r="I145" s="15">
        <f t="shared" si="9"/>
        <v>878.75</v>
      </c>
      <c r="J145" s="14">
        <f t="shared" si="9"/>
        <v>15267</v>
      </c>
      <c r="K145" s="15">
        <f t="shared" si="9"/>
        <v>303710</v>
      </c>
      <c r="L145" s="14">
        <f t="shared" si="9"/>
        <v>1183</v>
      </c>
      <c r="M145" s="15">
        <f t="shared" si="9"/>
        <v>28113.75</v>
      </c>
    </row>
    <row r="146" spans="1:13" ht="12.75" x14ac:dyDescent="0.15">
      <c r="A146" s="13">
        <v>44013</v>
      </c>
      <c r="B146" s="14">
        <f t="shared" si="9"/>
        <v>126173</v>
      </c>
      <c r="C146" s="15">
        <f t="shared" si="9"/>
        <v>473148.75</v>
      </c>
      <c r="D146" s="14">
        <f t="shared" si="9"/>
        <v>2178</v>
      </c>
      <c r="E146" s="15">
        <f t="shared" si="9"/>
        <v>21834</v>
      </c>
      <c r="F146" s="14">
        <f t="shared" si="9"/>
        <v>3132</v>
      </c>
      <c r="G146" s="15">
        <f t="shared" si="9"/>
        <v>44935.5</v>
      </c>
      <c r="H146" s="14">
        <f t="shared" si="9"/>
        <v>69</v>
      </c>
      <c r="I146" s="15">
        <f t="shared" si="9"/>
        <v>1122</v>
      </c>
      <c r="J146" s="14">
        <f t="shared" si="9"/>
        <v>16504</v>
      </c>
      <c r="K146" s="15">
        <f t="shared" si="9"/>
        <v>328875.25</v>
      </c>
      <c r="L146" s="14">
        <f t="shared" si="9"/>
        <v>1186</v>
      </c>
      <c r="M146" s="15">
        <f t="shared" si="9"/>
        <v>28134.5</v>
      </c>
    </row>
    <row r="147" spans="1:13" ht="12.75" x14ac:dyDescent="0.15">
      <c r="A147" s="13">
        <v>44044</v>
      </c>
      <c r="B147" s="14">
        <f t="shared" si="9"/>
        <v>136936</v>
      </c>
      <c r="C147" s="15">
        <f t="shared" si="9"/>
        <v>513510</v>
      </c>
      <c r="D147" s="14">
        <f t="shared" si="9"/>
        <v>2037</v>
      </c>
      <c r="E147" s="15">
        <f t="shared" si="9"/>
        <v>20307</v>
      </c>
      <c r="F147" s="14">
        <f t="shared" si="9"/>
        <v>3364</v>
      </c>
      <c r="G147" s="15">
        <f t="shared" si="9"/>
        <v>48166.5</v>
      </c>
      <c r="H147" s="14">
        <f t="shared" si="9"/>
        <v>84</v>
      </c>
      <c r="I147" s="15">
        <f t="shared" si="9"/>
        <v>1349.25</v>
      </c>
      <c r="J147" s="14">
        <f t="shared" si="9"/>
        <v>16378</v>
      </c>
      <c r="K147" s="15">
        <f t="shared" si="9"/>
        <v>325140.75</v>
      </c>
      <c r="L147" s="14">
        <f t="shared" si="9"/>
        <v>1099</v>
      </c>
      <c r="M147" s="15">
        <f t="shared" si="9"/>
        <v>26020.75</v>
      </c>
    </row>
    <row r="148" spans="1:13" ht="12.75" x14ac:dyDescent="0.15">
      <c r="A148" s="13">
        <v>44075</v>
      </c>
      <c r="B148" s="14">
        <f t="shared" si="9"/>
        <v>132898</v>
      </c>
      <c r="C148" s="15">
        <f t="shared" si="9"/>
        <v>498367.5</v>
      </c>
      <c r="D148" s="14">
        <f t="shared" si="9"/>
        <v>2216</v>
      </c>
      <c r="E148" s="15">
        <f t="shared" si="9"/>
        <v>22096</v>
      </c>
      <c r="F148" s="14">
        <f t="shared" si="9"/>
        <v>2885</v>
      </c>
      <c r="G148" s="15">
        <f t="shared" si="9"/>
        <v>41014.5</v>
      </c>
      <c r="H148" s="14">
        <f t="shared" si="9"/>
        <v>54</v>
      </c>
      <c r="I148" s="15">
        <f t="shared" si="9"/>
        <v>852.75</v>
      </c>
      <c r="J148" s="14">
        <f t="shared" si="9"/>
        <v>17062</v>
      </c>
      <c r="K148" s="15">
        <f t="shared" si="9"/>
        <v>338973.25</v>
      </c>
      <c r="L148" s="14">
        <f t="shared" si="9"/>
        <v>1279</v>
      </c>
      <c r="M148" s="15">
        <f t="shared" si="9"/>
        <v>30450.75</v>
      </c>
    </row>
    <row r="149" spans="1:13" ht="13.5" thickBot="1" x14ac:dyDescent="0.2">
      <c r="A149" s="16" t="s">
        <v>43</v>
      </c>
      <c r="B149" s="17">
        <f t="shared" ref="B149:M149" si="10">SUM(B137:B148)</f>
        <v>2256499</v>
      </c>
      <c r="C149" s="18">
        <f t="shared" si="10"/>
        <v>8461871.25</v>
      </c>
      <c r="D149" s="17">
        <f t="shared" si="10"/>
        <v>23894</v>
      </c>
      <c r="E149" s="18">
        <f t="shared" si="10"/>
        <v>238688.5</v>
      </c>
      <c r="F149" s="17">
        <f t="shared" si="10"/>
        <v>32997</v>
      </c>
      <c r="G149" s="18">
        <f t="shared" si="10"/>
        <v>469560</v>
      </c>
      <c r="H149" s="19">
        <f t="shared" si="10"/>
        <v>631</v>
      </c>
      <c r="I149" s="18">
        <f t="shared" si="10"/>
        <v>10125.25</v>
      </c>
      <c r="J149" s="17">
        <f t="shared" si="10"/>
        <v>185494</v>
      </c>
      <c r="K149" s="18">
        <f t="shared" si="10"/>
        <v>3687040.5</v>
      </c>
      <c r="L149" s="17">
        <f t="shared" si="10"/>
        <v>12691</v>
      </c>
      <c r="M149" s="18">
        <f t="shared" si="10"/>
        <v>301458.5</v>
      </c>
    </row>
    <row r="150" spans="1:13" ht="12.75" thickBo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x14ac:dyDescent="0.15">
      <c r="A151" s="5" t="s">
        <v>3</v>
      </c>
      <c r="B151" s="6" t="s">
        <v>19</v>
      </c>
      <c r="C151" s="6" t="s">
        <v>20</v>
      </c>
      <c r="D151" s="6" t="s">
        <v>21</v>
      </c>
      <c r="E151" s="6" t="s">
        <v>22</v>
      </c>
      <c r="F151" s="6" t="s">
        <v>23</v>
      </c>
      <c r="G151" s="6" t="s">
        <v>24</v>
      </c>
      <c r="H151" s="6" t="s">
        <v>25</v>
      </c>
      <c r="I151" s="6" t="s">
        <v>26</v>
      </c>
      <c r="J151" s="6" t="s">
        <v>27</v>
      </c>
      <c r="K151" s="6" t="s">
        <v>28</v>
      </c>
      <c r="L151" s="6" t="s">
        <v>29</v>
      </c>
      <c r="M151" s="6" t="s">
        <v>29</v>
      </c>
    </row>
    <row r="152" spans="1:13" ht="13.5" thickBot="1" x14ac:dyDescent="0.2">
      <c r="A152" s="8" t="s">
        <v>16</v>
      </c>
      <c r="B152" s="9">
        <v>1</v>
      </c>
      <c r="C152" s="10" t="s">
        <v>17</v>
      </c>
      <c r="D152" s="9" t="s">
        <v>30</v>
      </c>
      <c r="E152" s="10" t="s">
        <v>17</v>
      </c>
      <c r="F152" s="9">
        <v>10</v>
      </c>
      <c r="G152" s="10" t="s">
        <v>17</v>
      </c>
      <c r="H152" s="9">
        <v>1</v>
      </c>
      <c r="I152" s="10" t="s">
        <v>17</v>
      </c>
      <c r="J152" s="10"/>
      <c r="K152" s="10" t="s">
        <v>17</v>
      </c>
      <c r="L152" s="10" t="s">
        <v>31</v>
      </c>
      <c r="M152" s="10" t="s">
        <v>32</v>
      </c>
    </row>
    <row r="153" spans="1:13" ht="12.75" x14ac:dyDescent="0.15">
      <c r="A153" s="13">
        <v>43739</v>
      </c>
      <c r="B153" s="14">
        <f t="shared" ref="B153:M164" si="11">B27+B69+B111</f>
        <v>5470</v>
      </c>
      <c r="C153" s="20">
        <f t="shared" si="11"/>
        <v>5470</v>
      </c>
      <c r="D153" s="14">
        <f t="shared" si="11"/>
        <v>6612</v>
      </c>
      <c r="E153" s="20">
        <f t="shared" si="11"/>
        <v>55114</v>
      </c>
      <c r="F153" s="14">
        <f t="shared" si="11"/>
        <v>511</v>
      </c>
      <c r="G153" s="20">
        <f t="shared" si="11"/>
        <v>5110</v>
      </c>
      <c r="H153" s="14">
        <f t="shared" si="11"/>
        <v>196161</v>
      </c>
      <c r="I153" s="20">
        <f t="shared" si="11"/>
        <v>196161</v>
      </c>
      <c r="J153" s="14">
        <f t="shared" si="11"/>
        <v>3261</v>
      </c>
      <c r="K153" s="20">
        <f t="shared" si="11"/>
        <v>39574.58</v>
      </c>
      <c r="L153" s="21">
        <f t="shared" si="11"/>
        <v>491301</v>
      </c>
      <c r="M153" s="22">
        <f t="shared" si="11"/>
        <v>1711625.83</v>
      </c>
    </row>
    <row r="154" spans="1:13" ht="12.75" x14ac:dyDescent="0.15">
      <c r="A154" s="13">
        <v>43770</v>
      </c>
      <c r="B154" s="14">
        <f t="shared" si="11"/>
        <v>5550</v>
      </c>
      <c r="C154" s="20">
        <f t="shared" si="11"/>
        <v>5550</v>
      </c>
      <c r="D154" s="14">
        <f t="shared" si="11"/>
        <v>5626</v>
      </c>
      <c r="E154" s="20">
        <f t="shared" si="11"/>
        <v>47003.5</v>
      </c>
      <c r="F154" s="14">
        <f t="shared" si="11"/>
        <v>513</v>
      </c>
      <c r="G154" s="20">
        <f t="shared" si="11"/>
        <v>5130</v>
      </c>
      <c r="H154" s="14">
        <f t="shared" si="11"/>
        <v>195585</v>
      </c>
      <c r="I154" s="20">
        <f t="shared" si="11"/>
        <v>195585</v>
      </c>
      <c r="J154" s="14">
        <f t="shared" si="11"/>
        <v>2874</v>
      </c>
      <c r="K154" s="20">
        <f t="shared" si="11"/>
        <v>31525.509999999995</v>
      </c>
      <c r="L154" s="21">
        <f t="shared" si="11"/>
        <v>489000</v>
      </c>
      <c r="M154" s="22">
        <f t="shared" si="11"/>
        <v>1649815.26</v>
      </c>
    </row>
    <row r="155" spans="1:13" ht="12.75" x14ac:dyDescent="0.15">
      <c r="A155" s="13">
        <v>43800</v>
      </c>
      <c r="B155" s="14">
        <f t="shared" si="11"/>
        <v>5988</v>
      </c>
      <c r="C155" s="20">
        <f t="shared" si="11"/>
        <v>5988</v>
      </c>
      <c r="D155" s="14">
        <f t="shared" si="11"/>
        <v>8153</v>
      </c>
      <c r="E155" s="20">
        <f t="shared" si="11"/>
        <v>68659</v>
      </c>
      <c r="F155" s="14">
        <f t="shared" si="11"/>
        <v>549</v>
      </c>
      <c r="G155" s="20">
        <f t="shared" si="11"/>
        <v>5490</v>
      </c>
      <c r="H155" s="14">
        <f t="shared" si="11"/>
        <v>209211</v>
      </c>
      <c r="I155" s="20">
        <f t="shared" si="11"/>
        <v>209211</v>
      </c>
      <c r="J155" s="14">
        <f t="shared" si="11"/>
        <v>4247</v>
      </c>
      <c r="K155" s="20">
        <f t="shared" si="11"/>
        <v>28079.799999999996</v>
      </c>
      <c r="L155" s="21">
        <f t="shared" si="11"/>
        <v>524962</v>
      </c>
      <c r="M155" s="22">
        <f t="shared" si="11"/>
        <v>1735498.05</v>
      </c>
    </row>
    <row r="156" spans="1:13" ht="12.75" x14ac:dyDescent="0.15">
      <c r="A156" s="13">
        <v>43831</v>
      </c>
      <c r="B156" s="14">
        <f t="shared" si="11"/>
        <v>6038</v>
      </c>
      <c r="C156" s="20">
        <f t="shared" si="11"/>
        <v>6038</v>
      </c>
      <c r="D156" s="14">
        <f t="shared" si="11"/>
        <v>4172</v>
      </c>
      <c r="E156" s="20">
        <f t="shared" si="11"/>
        <v>34167</v>
      </c>
      <c r="F156" s="14">
        <f t="shared" si="11"/>
        <v>510</v>
      </c>
      <c r="G156" s="20">
        <f t="shared" si="11"/>
        <v>5100</v>
      </c>
      <c r="H156" s="14">
        <f t="shared" si="11"/>
        <v>191729</v>
      </c>
      <c r="I156" s="20">
        <f t="shared" si="11"/>
        <v>191729</v>
      </c>
      <c r="J156" s="14">
        <f t="shared" si="11"/>
        <v>2126</v>
      </c>
      <c r="K156" s="20">
        <f t="shared" si="11"/>
        <v>19958.240000000002</v>
      </c>
      <c r="L156" s="21">
        <f t="shared" si="11"/>
        <v>479630</v>
      </c>
      <c r="M156" s="22">
        <f t="shared" si="11"/>
        <v>1646249.24</v>
      </c>
    </row>
    <row r="157" spans="1:13" ht="12.75" x14ac:dyDescent="0.15">
      <c r="A157" s="13">
        <v>43862</v>
      </c>
      <c r="B157" s="14">
        <f t="shared" si="11"/>
        <v>6829</v>
      </c>
      <c r="C157" s="20">
        <f t="shared" si="11"/>
        <v>6829</v>
      </c>
      <c r="D157" s="14">
        <f t="shared" si="11"/>
        <v>5461</v>
      </c>
      <c r="E157" s="20">
        <f t="shared" si="11"/>
        <v>45378.25</v>
      </c>
      <c r="F157" s="14">
        <f t="shared" si="11"/>
        <v>496</v>
      </c>
      <c r="G157" s="20">
        <f t="shared" si="11"/>
        <v>4960</v>
      </c>
      <c r="H157" s="14">
        <f t="shared" si="11"/>
        <v>181803</v>
      </c>
      <c r="I157" s="20">
        <f t="shared" si="11"/>
        <v>181803</v>
      </c>
      <c r="J157" s="14">
        <f t="shared" si="11"/>
        <v>2669</v>
      </c>
      <c r="K157" s="20">
        <f t="shared" si="11"/>
        <v>24114.83</v>
      </c>
      <c r="L157" s="21">
        <f t="shared" si="11"/>
        <v>459944</v>
      </c>
      <c r="M157" s="22">
        <f t="shared" si="11"/>
        <v>1574962.08</v>
      </c>
    </row>
    <row r="158" spans="1:13" ht="12.75" x14ac:dyDescent="0.15">
      <c r="A158" s="13">
        <v>43891</v>
      </c>
      <c r="B158" s="14">
        <f t="shared" si="11"/>
        <v>5318</v>
      </c>
      <c r="C158" s="20">
        <f t="shared" si="11"/>
        <v>5318</v>
      </c>
      <c r="D158" s="14">
        <f t="shared" si="11"/>
        <v>4224</v>
      </c>
      <c r="E158" s="20">
        <f t="shared" si="11"/>
        <v>35270</v>
      </c>
      <c r="F158" s="14">
        <f t="shared" si="11"/>
        <v>443</v>
      </c>
      <c r="G158" s="20">
        <f t="shared" si="11"/>
        <v>4430</v>
      </c>
      <c r="H158" s="14">
        <f t="shared" si="11"/>
        <v>136714</v>
      </c>
      <c r="I158" s="20">
        <f t="shared" si="11"/>
        <v>136714</v>
      </c>
      <c r="J158" s="14">
        <f t="shared" si="11"/>
        <v>2419</v>
      </c>
      <c r="K158" s="20">
        <f t="shared" si="11"/>
        <v>22341.629999999997</v>
      </c>
      <c r="L158" s="21">
        <f t="shared" si="11"/>
        <v>376914</v>
      </c>
      <c r="M158" s="22">
        <f t="shared" si="11"/>
        <v>1391283.63</v>
      </c>
    </row>
    <row r="159" spans="1:13" ht="12.75" x14ac:dyDescent="0.15">
      <c r="A159" s="13">
        <v>43922</v>
      </c>
      <c r="B159" s="14">
        <f t="shared" si="11"/>
        <v>1785</v>
      </c>
      <c r="C159" s="20">
        <f t="shared" si="11"/>
        <v>1785</v>
      </c>
      <c r="D159" s="14">
        <f t="shared" si="11"/>
        <v>270</v>
      </c>
      <c r="E159" s="20">
        <f t="shared" si="11"/>
        <v>2285</v>
      </c>
      <c r="F159" s="14">
        <f t="shared" si="11"/>
        <v>128</v>
      </c>
      <c r="G159" s="20">
        <f t="shared" si="11"/>
        <v>1280</v>
      </c>
      <c r="H159" s="14">
        <f t="shared" si="11"/>
        <v>38367</v>
      </c>
      <c r="I159" s="20">
        <f t="shared" si="11"/>
        <v>38367</v>
      </c>
      <c r="J159" s="14">
        <f t="shared" si="11"/>
        <v>642</v>
      </c>
      <c r="K159" s="20">
        <f t="shared" si="11"/>
        <v>14375.380000000001</v>
      </c>
      <c r="L159" s="21">
        <f t="shared" si="11"/>
        <v>143770</v>
      </c>
      <c r="M159" s="22">
        <f t="shared" si="11"/>
        <v>636020.63</v>
      </c>
    </row>
    <row r="160" spans="1:13" ht="12.75" x14ac:dyDescent="0.15">
      <c r="A160" s="13">
        <v>43952</v>
      </c>
      <c r="B160" s="14">
        <f t="shared" si="11"/>
        <v>2808</v>
      </c>
      <c r="C160" s="20">
        <f t="shared" si="11"/>
        <v>2808</v>
      </c>
      <c r="D160" s="14">
        <f t="shared" si="11"/>
        <v>149</v>
      </c>
      <c r="E160" s="20">
        <f t="shared" si="11"/>
        <v>1273.75</v>
      </c>
      <c r="F160" s="14">
        <f t="shared" si="11"/>
        <v>181</v>
      </c>
      <c r="G160" s="20">
        <f t="shared" si="11"/>
        <v>1810</v>
      </c>
      <c r="H160" s="14">
        <f t="shared" si="11"/>
        <v>61194</v>
      </c>
      <c r="I160" s="20">
        <f t="shared" si="11"/>
        <v>61194</v>
      </c>
      <c r="J160" s="14">
        <f t="shared" si="11"/>
        <v>1239</v>
      </c>
      <c r="K160" s="20">
        <f t="shared" si="11"/>
        <v>6543.84</v>
      </c>
      <c r="L160" s="21">
        <f t="shared" si="11"/>
        <v>220797</v>
      </c>
      <c r="M160" s="22">
        <f t="shared" si="11"/>
        <v>876543.59</v>
      </c>
    </row>
    <row r="161" spans="1:13" ht="12.75" x14ac:dyDescent="0.15">
      <c r="A161" s="13">
        <v>43983</v>
      </c>
      <c r="B161" s="14">
        <f t="shared" si="11"/>
        <v>2877</v>
      </c>
      <c r="C161" s="20">
        <f t="shared" si="11"/>
        <v>2877</v>
      </c>
      <c r="D161" s="14">
        <f t="shared" si="11"/>
        <v>544</v>
      </c>
      <c r="E161" s="20">
        <f t="shared" si="11"/>
        <v>4723.5</v>
      </c>
      <c r="F161" s="14">
        <f t="shared" si="11"/>
        <v>209</v>
      </c>
      <c r="G161" s="20">
        <f t="shared" si="11"/>
        <v>2090</v>
      </c>
      <c r="H161" s="14">
        <f t="shared" si="11"/>
        <v>73876</v>
      </c>
      <c r="I161" s="20">
        <f t="shared" si="11"/>
        <v>73876</v>
      </c>
      <c r="J161" s="14">
        <f t="shared" si="11"/>
        <v>1474</v>
      </c>
      <c r="K161" s="20">
        <f t="shared" si="11"/>
        <v>7566.99</v>
      </c>
      <c r="L161" s="21">
        <f t="shared" si="11"/>
        <v>247359</v>
      </c>
      <c r="M161" s="22">
        <f t="shared" si="11"/>
        <v>1033104.49</v>
      </c>
    </row>
    <row r="162" spans="1:13" ht="12.75" x14ac:dyDescent="0.15">
      <c r="A162" s="13">
        <v>44013</v>
      </c>
      <c r="B162" s="14">
        <f t="shared" si="11"/>
        <v>2941</v>
      </c>
      <c r="C162" s="20">
        <f t="shared" si="11"/>
        <v>2941</v>
      </c>
      <c r="D162" s="14">
        <f t="shared" si="11"/>
        <v>1300</v>
      </c>
      <c r="E162" s="20">
        <f t="shared" si="11"/>
        <v>11205.5</v>
      </c>
      <c r="F162" s="14">
        <f t="shared" si="11"/>
        <v>211</v>
      </c>
      <c r="G162" s="20">
        <f t="shared" si="11"/>
        <v>2110</v>
      </c>
      <c r="H162" s="14">
        <f t="shared" si="11"/>
        <v>64431</v>
      </c>
      <c r="I162" s="20">
        <f t="shared" si="11"/>
        <v>64431</v>
      </c>
      <c r="J162" s="14">
        <f t="shared" si="11"/>
        <v>1684</v>
      </c>
      <c r="K162" s="20">
        <f t="shared" si="11"/>
        <v>8631.4900000000016</v>
      </c>
      <c r="L162" s="21">
        <f t="shared" si="11"/>
        <v>219809</v>
      </c>
      <c r="M162" s="22">
        <f t="shared" si="11"/>
        <v>987368.99</v>
      </c>
    </row>
    <row r="163" spans="1:13" ht="12.75" x14ac:dyDescent="0.15">
      <c r="A163" s="13">
        <v>44044</v>
      </c>
      <c r="B163" s="14">
        <f t="shared" si="11"/>
        <v>3036</v>
      </c>
      <c r="C163" s="20">
        <f t="shared" si="11"/>
        <v>3036</v>
      </c>
      <c r="D163" s="14">
        <f t="shared" si="11"/>
        <v>2494</v>
      </c>
      <c r="E163" s="20">
        <f t="shared" si="11"/>
        <v>21001.5</v>
      </c>
      <c r="F163" s="14">
        <f t="shared" si="11"/>
        <v>200</v>
      </c>
      <c r="G163" s="20">
        <f t="shared" si="11"/>
        <v>2000</v>
      </c>
      <c r="H163" s="14">
        <f t="shared" si="11"/>
        <v>70286</v>
      </c>
      <c r="I163" s="20">
        <f t="shared" si="11"/>
        <v>70286</v>
      </c>
      <c r="J163" s="14">
        <f t="shared" si="11"/>
        <v>1799</v>
      </c>
      <c r="K163" s="20">
        <f t="shared" si="11"/>
        <v>8585.2800000000007</v>
      </c>
      <c r="L163" s="21">
        <f t="shared" si="11"/>
        <v>237713</v>
      </c>
      <c r="M163" s="22">
        <f t="shared" si="11"/>
        <v>1039403.03</v>
      </c>
    </row>
    <row r="164" spans="1:13" ht="12.75" x14ac:dyDescent="0.15">
      <c r="A164" s="13">
        <v>44075</v>
      </c>
      <c r="B164" s="14">
        <f t="shared" si="11"/>
        <v>3154</v>
      </c>
      <c r="C164" s="20">
        <f t="shared" si="11"/>
        <v>3154</v>
      </c>
      <c r="D164" s="14">
        <f t="shared" si="11"/>
        <v>3468</v>
      </c>
      <c r="E164" s="20">
        <f t="shared" si="11"/>
        <v>29572</v>
      </c>
      <c r="F164" s="14">
        <f t="shared" si="11"/>
        <v>187</v>
      </c>
      <c r="G164" s="20">
        <f t="shared" si="11"/>
        <v>1870</v>
      </c>
      <c r="H164" s="14">
        <f t="shared" si="11"/>
        <v>68689</v>
      </c>
      <c r="I164" s="20">
        <f t="shared" si="11"/>
        <v>68689</v>
      </c>
      <c r="J164" s="14">
        <f t="shared" si="11"/>
        <v>2007</v>
      </c>
      <c r="K164" s="20">
        <f t="shared" si="11"/>
        <v>9495.4700000000012</v>
      </c>
      <c r="L164" s="21">
        <f t="shared" si="11"/>
        <v>233899</v>
      </c>
      <c r="M164" s="22">
        <f t="shared" si="11"/>
        <v>1044535.22</v>
      </c>
    </row>
    <row r="165" spans="1:13" ht="13.5" thickBot="1" x14ac:dyDescent="0.2">
      <c r="A165" s="16" t="s">
        <v>43</v>
      </c>
      <c r="B165" s="17">
        <f t="shared" ref="B165:M165" si="12">SUM(B153:B164)</f>
        <v>51794</v>
      </c>
      <c r="C165" s="23">
        <f t="shared" si="12"/>
        <v>51794</v>
      </c>
      <c r="D165" s="17">
        <f t="shared" si="12"/>
        <v>42473</v>
      </c>
      <c r="E165" s="23">
        <f t="shared" si="12"/>
        <v>355653</v>
      </c>
      <c r="F165" s="17">
        <f t="shared" si="12"/>
        <v>4138</v>
      </c>
      <c r="G165" s="23">
        <f t="shared" si="12"/>
        <v>41380</v>
      </c>
      <c r="H165" s="17">
        <f t="shared" si="12"/>
        <v>1488046</v>
      </c>
      <c r="I165" s="23">
        <f t="shared" si="12"/>
        <v>1488046</v>
      </c>
      <c r="J165" s="17">
        <f t="shared" si="12"/>
        <v>26441</v>
      </c>
      <c r="K165" s="23">
        <f t="shared" si="12"/>
        <v>220793.03999999998</v>
      </c>
      <c r="L165" s="24">
        <f t="shared" si="12"/>
        <v>4125098</v>
      </c>
      <c r="M165" s="25">
        <f t="shared" si="12"/>
        <v>15326410.040000001</v>
      </c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customHeight="1" x14ac:dyDescent="0.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x14ac:dyDescent="0.15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x14ac:dyDescent="0.15">
      <c r="A169" s="3" t="s">
        <v>33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</sheetData>
  <mergeCells count="12">
    <mergeCell ref="A167:M167"/>
    <mergeCell ref="A2:M2"/>
    <mergeCell ref="A3:M3"/>
    <mergeCell ref="A41:M41"/>
    <mergeCell ref="A44:M44"/>
    <mergeCell ref="A45:M45"/>
    <mergeCell ref="A83:M83"/>
    <mergeCell ref="A86:M86"/>
    <mergeCell ref="A87:M87"/>
    <mergeCell ref="A125:M125"/>
    <mergeCell ref="A128:M128"/>
    <mergeCell ref="A129:M129"/>
  </mergeCells>
  <printOptions horizontalCentered="1"/>
  <pageMargins left="0.25" right="0.25" top="0.66" bottom="0.23" header="0.28000000000000003" footer="0.25"/>
  <pageSetup scale="85" orientation="landscape" r:id="rId1"/>
  <headerFooter alignWithMargins="0"/>
  <rowBreaks count="3" manualBreakCount="3">
    <brk id="43" max="12" man="1"/>
    <brk id="85" max="12" man="1"/>
    <brk id="12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1678-3CD0-4170-9F39-1FFF3F05E010}">
  <sheetPr codeName="Sheet34"/>
  <dimension ref="A1:M169"/>
  <sheetViews>
    <sheetView zoomScaleNormal="100" workbookViewId="0">
      <selection activeCell="M156" sqref="M156"/>
    </sheetView>
  </sheetViews>
  <sheetFormatPr defaultRowHeight="12" x14ac:dyDescent="0.15"/>
  <cols>
    <col min="1" max="1" width="8" customWidth="1"/>
    <col min="2" max="2" width="12.5" bestFit="1" customWidth="1"/>
    <col min="3" max="3" width="14.125" customWidth="1"/>
    <col min="4" max="4" width="10.25" bestFit="1" customWidth="1"/>
    <col min="5" max="5" width="11.375" customWidth="1"/>
    <col min="6" max="6" width="9.75" customWidth="1"/>
    <col min="7" max="7" width="13.375" customWidth="1"/>
    <col min="8" max="8" width="10.625" customWidth="1"/>
    <col min="9" max="9" width="14.875" customWidth="1"/>
    <col min="10" max="10" width="8.75" bestFit="1" customWidth="1"/>
    <col min="11" max="11" width="13.375" customWidth="1"/>
    <col min="12" max="12" width="10.5" customWidth="1"/>
    <col min="13" max="13" width="16" customWidth="1"/>
    <col min="257" max="257" width="8" customWidth="1"/>
    <col min="258" max="258" width="12.5" bestFit="1" customWidth="1"/>
    <col min="259" max="259" width="14.125" customWidth="1"/>
    <col min="260" max="260" width="10.25" bestFit="1" customWidth="1"/>
    <col min="261" max="261" width="11.375" customWidth="1"/>
    <col min="262" max="262" width="9.75" customWidth="1"/>
    <col min="263" max="263" width="13.375" customWidth="1"/>
    <col min="264" max="264" width="8.75" customWidth="1"/>
    <col min="265" max="265" width="12.875" customWidth="1"/>
    <col min="266" max="266" width="8.75" bestFit="1" customWidth="1"/>
    <col min="267" max="267" width="13.375" customWidth="1"/>
    <col min="268" max="268" width="10.5" customWidth="1"/>
    <col min="269" max="269" width="13.5" customWidth="1"/>
    <col min="513" max="513" width="8" customWidth="1"/>
    <col min="514" max="514" width="12.5" bestFit="1" customWidth="1"/>
    <col min="515" max="515" width="14.125" customWidth="1"/>
    <col min="516" max="516" width="10.25" bestFit="1" customWidth="1"/>
    <col min="517" max="517" width="11.375" customWidth="1"/>
    <col min="518" max="518" width="9.75" customWidth="1"/>
    <col min="519" max="519" width="13.375" customWidth="1"/>
    <col min="520" max="520" width="8.75" customWidth="1"/>
    <col min="521" max="521" width="12.875" customWidth="1"/>
    <col min="522" max="522" width="8.75" bestFit="1" customWidth="1"/>
    <col min="523" max="523" width="13.375" customWidth="1"/>
    <col min="524" max="524" width="10.5" customWidth="1"/>
    <col min="525" max="525" width="13.5" customWidth="1"/>
    <col min="769" max="769" width="8" customWidth="1"/>
    <col min="770" max="770" width="12.5" bestFit="1" customWidth="1"/>
    <col min="771" max="771" width="14.125" customWidth="1"/>
    <col min="772" max="772" width="10.25" bestFit="1" customWidth="1"/>
    <col min="773" max="773" width="11.375" customWidth="1"/>
    <col min="774" max="774" width="9.75" customWidth="1"/>
    <col min="775" max="775" width="13.375" customWidth="1"/>
    <col min="776" max="776" width="8.75" customWidth="1"/>
    <col min="777" max="777" width="12.875" customWidth="1"/>
    <col min="778" max="778" width="8.75" bestFit="1" customWidth="1"/>
    <col min="779" max="779" width="13.375" customWidth="1"/>
    <col min="780" max="780" width="10.5" customWidth="1"/>
    <col min="781" max="781" width="13.5" customWidth="1"/>
    <col min="1025" max="1025" width="8" customWidth="1"/>
    <col min="1026" max="1026" width="12.5" bestFit="1" customWidth="1"/>
    <col min="1027" max="1027" width="14.125" customWidth="1"/>
    <col min="1028" max="1028" width="10.25" bestFit="1" customWidth="1"/>
    <col min="1029" max="1029" width="11.375" customWidth="1"/>
    <col min="1030" max="1030" width="9.75" customWidth="1"/>
    <col min="1031" max="1031" width="13.375" customWidth="1"/>
    <col min="1032" max="1032" width="8.75" customWidth="1"/>
    <col min="1033" max="1033" width="12.875" customWidth="1"/>
    <col min="1034" max="1034" width="8.75" bestFit="1" customWidth="1"/>
    <col min="1035" max="1035" width="13.375" customWidth="1"/>
    <col min="1036" max="1036" width="10.5" customWidth="1"/>
    <col min="1037" max="1037" width="13.5" customWidth="1"/>
    <col min="1281" max="1281" width="8" customWidth="1"/>
    <col min="1282" max="1282" width="12.5" bestFit="1" customWidth="1"/>
    <col min="1283" max="1283" width="14.125" customWidth="1"/>
    <col min="1284" max="1284" width="10.25" bestFit="1" customWidth="1"/>
    <col min="1285" max="1285" width="11.375" customWidth="1"/>
    <col min="1286" max="1286" width="9.75" customWidth="1"/>
    <col min="1287" max="1287" width="13.375" customWidth="1"/>
    <col min="1288" max="1288" width="8.75" customWidth="1"/>
    <col min="1289" max="1289" width="12.875" customWidth="1"/>
    <col min="1290" max="1290" width="8.75" bestFit="1" customWidth="1"/>
    <col min="1291" max="1291" width="13.375" customWidth="1"/>
    <col min="1292" max="1292" width="10.5" customWidth="1"/>
    <col min="1293" max="1293" width="13.5" customWidth="1"/>
    <col min="1537" max="1537" width="8" customWidth="1"/>
    <col min="1538" max="1538" width="12.5" bestFit="1" customWidth="1"/>
    <col min="1539" max="1539" width="14.125" customWidth="1"/>
    <col min="1540" max="1540" width="10.25" bestFit="1" customWidth="1"/>
    <col min="1541" max="1541" width="11.375" customWidth="1"/>
    <col min="1542" max="1542" width="9.75" customWidth="1"/>
    <col min="1543" max="1543" width="13.375" customWidth="1"/>
    <col min="1544" max="1544" width="8.75" customWidth="1"/>
    <col min="1545" max="1545" width="12.875" customWidth="1"/>
    <col min="1546" max="1546" width="8.75" bestFit="1" customWidth="1"/>
    <col min="1547" max="1547" width="13.375" customWidth="1"/>
    <col min="1548" max="1548" width="10.5" customWidth="1"/>
    <col min="1549" max="1549" width="13.5" customWidth="1"/>
    <col min="1793" max="1793" width="8" customWidth="1"/>
    <col min="1794" max="1794" width="12.5" bestFit="1" customWidth="1"/>
    <col min="1795" max="1795" width="14.125" customWidth="1"/>
    <col min="1796" max="1796" width="10.25" bestFit="1" customWidth="1"/>
    <col min="1797" max="1797" width="11.375" customWidth="1"/>
    <col min="1798" max="1798" width="9.75" customWidth="1"/>
    <col min="1799" max="1799" width="13.375" customWidth="1"/>
    <col min="1800" max="1800" width="8.75" customWidth="1"/>
    <col min="1801" max="1801" width="12.875" customWidth="1"/>
    <col min="1802" max="1802" width="8.75" bestFit="1" customWidth="1"/>
    <col min="1803" max="1803" width="13.375" customWidth="1"/>
    <col min="1804" max="1804" width="10.5" customWidth="1"/>
    <col min="1805" max="1805" width="13.5" customWidth="1"/>
    <col min="2049" max="2049" width="8" customWidth="1"/>
    <col min="2050" max="2050" width="12.5" bestFit="1" customWidth="1"/>
    <col min="2051" max="2051" width="14.125" customWidth="1"/>
    <col min="2052" max="2052" width="10.25" bestFit="1" customWidth="1"/>
    <col min="2053" max="2053" width="11.375" customWidth="1"/>
    <col min="2054" max="2054" width="9.75" customWidth="1"/>
    <col min="2055" max="2055" width="13.375" customWidth="1"/>
    <col min="2056" max="2056" width="8.75" customWidth="1"/>
    <col min="2057" max="2057" width="12.875" customWidth="1"/>
    <col min="2058" max="2058" width="8.75" bestFit="1" customWidth="1"/>
    <col min="2059" max="2059" width="13.375" customWidth="1"/>
    <col min="2060" max="2060" width="10.5" customWidth="1"/>
    <col min="2061" max="2061" width="13.5" customWidth="1"/>
    <col min="2305" max="2305" width="8" customWidth="1"/>
    <col min="2306" max="2306" width="12.5" bestFit="1" customWidth="1"/>
    <col min="2307" max="2307" width="14.125" customWidth="1"/>
    <col min="2308" max="2308" width="10.25" bestFit="1" customWidth="1"/>
    <col min="2309" max="2309" width="11.375" customWidth="1"/>
    <col min="2310" max="2310" width="9.75" customWidth="1"/>
    <col min="2311" max="2311" width="13.375" customWidth="1"/>
    <col min="2312" max="2312" width="8.75" customWidth="1"/>
    <col min="2313" max="2313" width="12.875" customWidth="1"/>
    <col min="2314" max="2314" width="8.75" bestFit="1" customWidth="1"/>
    <col min="2315" max="2315" width="13.375" customWidth="1"/>
    <col min="2316" max="2316" width="10.5" customWidth="1"/>
    <col min="2317" max="2317" width="13.5" customWidth="1"/>
    <col min="2561" max="2561" width="8" customWidth="1"/>
    <col min="2562" max="2562" width="12.5" bestFit="1" customWidth="1"/>
    <col min="2563" max="2563" width="14.125" customWidth="1"/>
    <col min="2564" max="2564" width="10.25" bestFit="1" customWidth="1"/>
    <col min="2565" max="2565" width="11.375" customWidth="1"/>
    <col min="2566" max="2566" width="9.75" customWidth="1"/>
    <col min="2567" max="2567" width="13.375" customWidth="1"/>
    <col min="2568" max="2568" width="8.75" customWidth="1"/>
    <col min="2569" max="2569" width="12.875" customWidth="1"/>
    <col min="2570" max="2570" width="8.75" bestFit="1" customWidth="1"/>
    <col min="2571" max="2571" width="13.375" customWidth="1"/>
    <col min="2572" max="2572" width="10.5" customWidth="1"/>
    <col min="2573" max="2573" width="13.5" customWidth="1"/>
    <col min="2817" max="2817" width="8" customWidth="1"/>
    <col min="2818" max="2818" width="12.5" bestFit="1" customWidth="1"/>
    <col min="2819" max="2819" width="14.125" customWidth="1"/>
    <col min="2820" max="2820" width="10.25" bestFit="1" customWidth="1"/>
    <col min="2821" max="2821" width="11.375" customWidth="1"/>
    <col min="2822" max="2822" width="9.75" customWidth="1"/>
    <col min="2823" max="2823" width="13.375" customWidth="1"/>
    <col min="2824" max="2824" width="8.75" customWidth="1"/>
    <col min="2825" max="2825" width="12.875" customWidth="1"/>
    <col min="2826" max="2826" width="8.75" bestFit="1" customWidth="1"/>
    <col min="2827" max="2827" width="13.375" customWidth="1"/>
    <col min="2828" max="2828" width="10.5" customWidth="1"/>
    <col min="2829" max="2829" width="13.5" customWidth="1"/>
    <col min="3073" max="3073" width="8" customWidth="1"/>
    <col min="3074" max="3074" width="12.5" bestFit="1" customWidth="1"/>
    <col min="3075" max="3075" width="14.125" customWidth="1"/>
    <col min="3076" max="3076" width="10.25" bestFit="1" customWidth="1"/>
    <col min="3077" max="3077" width="11.375" customWidth="1"/>
    <col min="3078" max="3078" width="9.75" customWidth="1"/>
    <col min="3079" max="3079" width="13.375" customWidth="1"/>
    <col min="3080" max="3080" width="8.75" customWidth="1"/>
    <col min="3081" max="3081" width="12.875" customWidth="1"/>
    <col min="3082" max="3082" width="8.75" bestFit="1" customWidth="1"/>
    <col min="3083" max="3083" width="13.375" customWidth="1"/>
    <col min="3084" max="3084" width="10.5" customWidth="1"/>
    <col min="3085" max="3085" width="13.5" customWidth="1"/>
    <col min="3329" max="3329" width="8" customWidth="1"/>
    <col min="3330" max="3330" width="12.5" bestFit="1" customWidth="1"/>
    <col min="3331" max="3331" width="14.125" customWidth="1"/>
    <col min="3332" max="3332" width="10.25" bestFit="1" customWidth="1"/>
    <col min="3333" max="3333" width="11.375" customWidth="1"/>
    <col min="3334" max="3334" width="9.75" customWidth="1"/>
    <col min="3335" max="3335" width="13.375" customWidth="1"/>
    <col min="3336" max="3336" width="8.75" customWidth="1"/>
    <col min="3337" max="3337" width="12.875" customWidth="1"/>
    <col min="3338" max="3338" width="8.75" bestFit="1" customWidth="1"/>
    <col min="3339" max="3339" width="13.375" customWidth="1"/>
    <col min="3340" max="3340" width="10.5" customWidth="1"/>
    <col min="3341" max="3341" width="13.5" customWidth="1"/>
    <col min="3585" max="3585" width="8" customWidth="1"/>
    <col min="3586" max="3586" width="12.5" bestFit="1" customWidth="1"/>
    <col min="3587" max="3587" width="14.125" customWidth="1"/>
    <col min="3588" max="3588" width="10.25" bestFit="1" customWidth="1"/>
    <col min="3589" max="3589" width="11.375" customWidth="1"/>
    <col min="3590" max="3590" width="9.75" customWidth="1"/>
    <col min="3591" max="3591" width="13.375" customWidth="1"/>
    <col min="3592" max="3592" width="8.75" customWidth="1"/>
    <col min="3593" max="3593" width="12.875" customWidth="1"/>
    <col min="3594" max="3594" width="8.75" bestFit="1" customWidth="1"/>
    <col min="3595" max="3595" width="13.375" customWidth="1"/>
    <col min="3596" max="3596" width="10.5" customWidth="1"/>
    <col min="3597" max="3597" width="13.5" customWidth="1"/>
    <col min="3841" max="3841" width="8" customWidth="1"/>
    <col min="3842" max="3842" width="12.5" bestFit="1" customWidth="1"/>
    <col min="3843" max="3843" width="14.125" customWidth="1"/>
    <col min="3844" max="3844" width="10.25" bestFit="1" customWidth="1"/>
    <col min="3845" max="3845" width="11.375" customWidth="1"/>
    <col min="3846" max="3846" width="9.75" customWidth="1"/>
    <col min="3847" max="3847" width="13.375" customWidth="1"/>
    <col min="3848" max="3848" width="8.75" customWidth="1"/>
    <col min="3849" max="3849" width="12.875" customWidth="1"/>
    <col min="3850" max="3850" width="8.75" bestFit="1" customWidth="1"/>
    <col min="3851" max="3851" width="13.375" customWidth="1"/>
    <col min="3852" max="3852" width="10.5" customWidth="1"/>
    <col min="3853" max="3853" width="13.5" customWidth="1"/>
    <col min="4097" max="4097" width="8" customWidth="1"/>
    <col min="4098" max="4098" width="12.5" bestFit="1" customWidth="1"/>
    <col min="4099" max="4099" width="14.125" customWidth="1"/>
    <col min="4100" max="4100" width="10.25" bestFit="1" customWidth="1"/>
    <col min="4101" max="4101" width="11.375" customWidth="1"/>
    <col min="4102" max="4102" width="9.75" customWidth="1"/>
    <col min="4103" max="4103" width="13.375" customWidth="1"/>
    <col min="4104" max="4104" width="8.75" customWidth="1"/>
    <col min="4105" max="4105" width="12.875" customWidth="1"/>
    <col min="4106" max="4106" width="8.75" bestFit="1" customWidth="1"/>
    <col min="4107" max="4107" width="13.375" customWidth="1"/>
    <col min="4108" max="4108" width="10.5" customWidth="1"/>
    <col min="4109" max="4109" width="13.5" customWidth="1"/>
    <col min="4353" max="4353" width="8" customWidth="1"/>
    <col min="4354" max="4354" width="12.5" bestFit="1" customWidth="1"/>
    <col min="4355" max="4355" width="14.125" customWidth="1"/>
    <col min="4356" max="4356" width="10.25" bestFit="1" customWidth="1"/>
    <col min="4357" max="4357" width="11.375" customWidth="1"/>
    <col min="4358" max="4358" width="9.75" customWidth="1"/>
    <col min="4359" max="4359" width="13.375" customWidth="1"/>
    <col min="4360" max="4360" width="8.75" customWidth="1"/>
    <col min="4361" max="4361" width="12.875" customWidth="1"/>
    <col min="4362" max="4362" width="8.75" bestFit="1" customWidth="1"/>
    <col min="4363" max="4363" width="13.375" customWidth="1"/>
    <col min="4364" max="4364" width="10.5" customWidth="1"/>
    <col min="4365" max="4365" width="13.5" customWidth="1"/>
    <col min="4609" max="4609" width="8" customWidth="1"/>
    <col min="4610" max="4610" width="12.5" bestFit="1" customWidth="1"/>
    <col min="4611" max="4611" width="14.125" customWidth="1"/>
    <col min="4612" max="4612" width="10.25" bestFit="1" customWidth="1"/>
    <col min="4613" max="4613" width="11.375" customWidth="1"/>
    <col min="4614" max="4614" width="9.75" customWidth="1"/>
    <col min="4615" max="4615" width="13.375" customWidth="1"/>
    <col min="4616" max="4616" width="8.75" customWidth="1"/>
    <col min="4617" max="4617" width="12.875" customWidth="1"/>
    <col min="4618" max="4618" width="8.75" bestFit="1" customWidth="1"/>
    <col min="4619" max="4619" width="13.375" customWidth="1"/>
    <col min="4620" max="4620" width="10.5" customWidth="1"/>
    <col min="4621" max="4621" width="13.5" customWidth="1"/>
    <col min="4865" max="4865" width="8" customWidth="1"/>
    <col min="4866" max="4866" width="12.5" bestFit="1" customWidth="1"/>
    <col min="4867" max="4867" width="14.125" customWidth="1"/>
    <col min="4868" max="4868" width="10.25" bestFit="1" customWidth="1"/>
    <col min="4869" max="4869" width="11.375" customWidth="1"/>
    <col min="4870" max="4870" width="9.75" customWidth="1"/>
    <col min="4871" max="4871" width="13.375" customWidth="1"/>
    <col min="4872" max="4872" width="8.75" customWidth="1"/>
    <col min="4873" max="4873" width="12.875" customWidth="1"/>
    <col min="4874" max="4874" width="8.75" bestFit="1" customWidth="1"/>
    <col min="4875" max="4875" width="13.375" customWidth="1"/>
    <col min="4876" max="4876" width="10.5" customWidth="1"/>
    <col min="4877" max="4877" width="13.5" customWidth="1"/>
    <col min="5121" max="5121" width="8" customWidth="1"/>
    <col min="5122" max="5122" width="12.5" bestFit="1" customWidth="1"/>
    <col min="5123" max="5123" width="14.125" customWidth="1"/>
    <col min="5124" max="5124" width="10.25" bestFit="1" customWidth="1"/>
    <col min="5125" max="5125" width="11.375" customWidth="1"/>
    <col min="5126" max="5126" width="9.75" customWidth="1"/>
    <col min="5127" max="5127" width="13.375" customWidth="1"/>
    <col min="5128" max="5128" width="8.75" customWidth="1"/>
    <col min="5129" max="5129" width="12.875" customWidth="1"/>
    <col min="5130" max="5130" width="8.75" bestFit="1" customWidth="1"/>
    <col min="5131" max="5131" width="13.375" customWidth="1"/>
    <col min="5132" max="5132" width="10.5" customWidth="1"/>
    <col min="5133" max="5133" width="13.5" customWidth="1"/>
    <col min="5377" max="5377" width="8" customWidth="1"/>
    <col min="5378" max="5378" width="12.5" bestFit="1" customWidth="1"/>
    <col min="5379" max="5379" width="14.125" customWidth="1"/>
    <col min="5380" max="5380" width="10.25" bestFit="1" customWidth="1"/>
    <col min="5381" max="5381" width="11.375" customWidth="1"/>
    <col min="5382" max="5382" width="9.75" customWidth="1"/>
    <col min="5383" max="5383" width="13.375" customWidth="1"/>
    <col min="5384" max="5384" width="8.75" customWidth="1"/>
    <col min="5385" max="5385" width="12.875" customWidth="1"/>
    <col min="5386" max="5386" width="8.75" bestFit="1" customWidth="1"/>
    <col min="5387" max="5387" width="13.375" customWidth="1"/>
    <col min="5388" max="5388" width="10.5" customWidth="1"/>
    <col min="5389" max="5389" width="13.5" customWidth="1"/>
    <col min="5633" max="5633" width="8" customWidth="1"/>
    <col min="5634" max="5634" width="12.5" bestFit="1" customWidth="1"/>
    <col min="5635" max="5635" width="14.125" customWidth="1"/>
    <col min="5636" max="5636" width="10.25" bestFit="1" customWidth="1"/>
    <col min="5637" max="5637" width="11.375" customWidth="1"/>
    <col min="5638" max="5638" width="9.75" customWidth="1"/>
    <col min="5639" max="5639" width="13.375" customWidth="1"/>
    <col min="5640" max="5640" width="8.75" customWidth="1"/>
    <col min="5641" max="5641" width="12.875" customWidth="1"/>
    <col min="5642" max="5642" width="8.75" bestFit="1" customWidth="1"/>
    <col min="5643" max="5643" width="13.375" customWidth="1"/>
    <col min="5644" max="5644" width="10.5" customWidth="1"/>
    <col min="5645" max="5645" width="13.5" customWidth="1"/>
    <col min="5889" max="5889" width="8" customWidth="1"/>
    <col min="5890" max="5890" width="12.5" bestFit="1" customWidth="1"/>
    <col min="5891" max="5891" width="14.125" customWidth="1"/>
    <col min="5892" max="5892" width="10.25" bestFit="1" customWidth="1"/>
    <col min="5893" max="5893" width="11.375" customWidth="1"/>
    <col min="5894" max="5894" width="9.75" customWidth="1"/>
    <col min="5895" max="5895" width="13.375" customWidth="1"/>
    <col min="5896" max="5896" width="8.75" customWidth="1"/>
    <col min="5897" max="5897" width="12.875" customWidth="1"/>
    <col min="5898" max="5898" width="8.75" bestFit="1" customWidth="1"/>
    <col min="5899" max="5899" width="13.375" customWidth="1"/>
    <col min="5900" max="5900" width="10.5" customWidth="1"/>
    <col min="5901" max="5901" width="13.5" customWidth="1"/>
    <col min="6145" max="6145" width="8" customWidth="1"/>
    <col min="6146" max="6146" width="12.5" bestFit="1" customWidth="1"/>
    <col min="6147" max="6147" width="14.125" customWidth="1"/>
    <col min="6148" max="6148" width="10.25" bestFit="1" customWidth="1"/>
    <col min="6149" max="6149" width="11.375" customWidth="1"/>
    <col min="6150" max="6150" width="9.75" customWidth="1"/>
    <col min="6151" max="6151" width="13.375" customWidth="1"/>
    <col min="6152" max="6152" width="8.75" customWidth="1"/>
    <col min="6153" max="6153" width="12.875" customWidth="1"/>
    <col min="6154" max="6154" width="8.75" bestFit="1" customWidth="1"/>
    <col min="6155" max="6155" width="13.375" customWidth="1"/>
    <col min="6156" max="6156" width="10.5" customWidth="1"/>
    <col min="6157" max="6157" width="13.5" customWidth="1"/>
    <col min="6401" max="6401" width="8" customWidth="1"/>
    <col min="6402" max="6402" width="12.5" bestFit="1" customWidth="1"/>
    <col min="6403" max="6403" width="14.125" customWidth="1"/>
    <col min="6404" max="6404" width="10.25" bestFit="1" customWidth="1"/>
    <col min="6405" max="6405" width="11.375" customWidth="1"/>
    <col min="6406" max="6406" width="9.75" customWidth="1"/>
    <col min="6407" max="6407" width="13.375" customWidth="1"/>
    <col min="6408" max="6408" width="8.75" customWidth="1"/>
    <col min="6409" max="6409" width="12.875" customWidth="1"/>
    <col min="6410" max="6410" width="8.75" bestFit="1" customWidth="1"/>
    <col min="6411" max="6411" width="13.375" customWidth="1"/>
    <col min="6412" max="6412" width="10.5" customWidth="1"/>
    <col min="6413" max="6413" width="13.5" customWidth="1"/>
    <col min="6657" max="6657" width="8" customWidth="1"/>
    <col min="6658" max="6658" width="12.5" bestFit="1" customWidth="1"/>
    <col min="6659" max="6659" width="14.125" customWidth="1"/>
    <col min="6660" max="6660" width="10.25" bestFit="1" customWidth="1"/>
    <col min="6661" max="6661" width="11.375" customWidth="1"/>
    <col min="6662" max="6662" width="9.75" customWidth="1"/>
    <col min="6663" max="6663" width="13.375" customWidth="1"/>
    <col min="6664" max="6664" width="8.75" customWidth="1"/>
    <col min="6665" max="6665" width="12.875" customWidth="1"/>
    <col min="6666" max="6666" width="8.75" bestFit="1" customWidth="1"/>
    <col min="6667" max="6667" width="13.375" customWidth="1"/>
    <col min="6668" max="6668" width="10.5" customWidth="1"/>
    <col min="6669" max="6669" width="13.5" customWidth="1"/>
    <col min="6913" max="6913" width="8" customWidth="1"/>
    <col min="6914" max="6914" width="12.5" bestFit="1" customWidth="1"/>
    <col min="6915" max="6915" width="14.125" customWidth="1"/>
    <col min="6916" max="6916" width="10.25" bestFit="1" customWidth="1"/>
    <col min="6917" max="6917" width="11.375" customWidth="1"/>
    <col min="6918" max="6918" width="9.75" customWidth="1"/>
    <col min="6919" max="6919" width="13.375" customWidth="1"/>
    <col min="6920" max="6920" width="8.75" customWidth="1"/>
    <col min="6921" max="6921" width="12.875" customWidth="1"/>
    <col min="6922" max="6922" width="8.75" bestFit="1" customWidth="1"/>
    <col min="6923" max="6923" width="13.375" customWidth="1"/>
    <col min="6924" max="6924" width="10.5" customWidth="1"/>
    <col min="6925" max="6925" width="13.5" customWidth="1"/>
    <col min="7169" max="7169" width="8" customWidth="1"/>
    <col min="7170" max="7170" width="12.5" bestFit="1" customWidth="1"/>
    <col min="7171" max="7171" width="14.125" customWidth="1"/>
    <col min="7172" max="7172" width="10.25" bestFit="1" customWidth="1"/>
    <col min="7173" max="7173" width="11.375" customWidth="1"/>
    <col min="7174" max="7174" width="9.75" customWidth="1"/>
    <col min="7175" max="7175" width="13.375" customWidth="1"/>
    <col min="7176" max="7176" width="8.75" customWidth="1"/>
    <col min="7177" max="7177" width="12.875" customWidth="1"/>
    <col min="7178" max="7178" width="8.75" bestFit="1" customWidth="1"/>
    <col min="7179" max="7179" width="13.375" customWidth="1"/>
    <col min="7180" max="7180" width="10.5" customWidth="1"/>
    <col min="7181" max="7181" width="13.5" customWidth="1"/>
    <col min="7425" max="7425" width="8" customWidth="1"/>
    <col min="7426" max="7426" width="12.5" bestFit="1" customWidth="1"/>
    <col min="7427" max="7427" width="14.125" customWidth="1"/>
    <col min="7428" max="7428" width="10.25" bestFit="1" customWidth="1"/>
    <col min="7429" max="7429" width="11.375" customWidth="1"/>
    <col min="7430" max="7430" width="9.75" customWidth="1"/>
    <col min="7431" max="7431" width="13.375" customWidth="1"/>
    <col min="7432" max="7432" width="8.75" customWidth="1"/>
    <col min="7433" max="7433" width="12.875" customWidth="1"/>
    <col min="7434" max="7434" width="8.75" bestFit="1" customWidth="1"/>
    <col min="7435" max="7435" width="13.375" customWidth="1"/>
    <col min="7436" max="7436" width="10.5" customWidth="1"/>
    <col min="7437" max="7437" width="13.5" customWidth="1"/>
    <col min="7681" max="7681" width="8" customWidth="1"/>
    <col min="7682" max="7682" width="12.5" bestFit="1" customWidth="1"/>
    <col min="7683" max="7683" width="14.125" customWidth="1"/>
    <col min="7684" max="7684" width="10.25" bestFit="1" customWidth="1"/>
    <col min="7685" max="7685" width="11.375" customWidth="1"/>
    <col min="7686" max="7686" width="9.75" customWidth="1"/>
    <col min="7687" max="7687" width="13.375" customWidth="1"/>
    <col min="7688" max="7688" width="8.75" customWidth="1"/>
    <col min="7689" max="7689" width="12.875" customWidth="1"/>
    <col min="7690" max="7690" width="8.75" bestFit="1" customWidth="1"/>
    <col min="7691" max="7691" width="13.375" customWidth="1"/>
    <col min="7692" max="7692" width="10.5" customWidth="1"/>
    <col min="7693" max="7693" width="13.5" customWidth="1"/>
    <col min="7937" max="7937" width="8" customWidth="1"/>
    <col min="7938" max="7938" width="12.5" bestFit="1" customWidth="1"/>
    <col min="7939" max="7939" width="14.125" customWidth="1"/>
    <col min="7940" max="7940" width="10.25" bestFit="1" customWidth="1"/>
    <col min="7941" max="7941" width="11.375" customWidth="1"/>
    <col min="7942" max="7942" width="9.75" customWidth="1"/>
    <col min="7943" max="7943" width="13.375" customWidth="1"/>
    <col min="7944" max="7944" width="8.75" customWidth="1"/>
    <col min="7945" max="7945" width="12.875" customWidth="1"/>
    <col min="7946" max="7946" width="8.75" bestFit="1" customWidth="1"/>
    <col min="7947" max="7947" width="13.375" customWidth="1"/>
    <col min="7948" max="7948" width="10.5" customWidth="1"/>
    <col min="7949" max="7949" width="13.5" customWidth="1"/>
    <col min="8193" max="8193" width="8" customWidth="1"/>
    <col min="8194" max="8194" width="12.5" bestFit="1" customWidth="1"/>
    <col min="8195" max="8195" width="14.125" customWidth="1"/>
    <col min="8196" max="8196" width="10.25" bestFit="1" customWidth="1"/>
    <col min="8197" max="8197" width="11.375" customWidth="1"/>
    <col min="8198" max="8198" width="9.75" customWidth="1"/>
    <col min="8199" max="8199" width="13.375" customWidth="1"/>
    <col min="8200" max="8200" width="8.75" customWidth="1"/>
    <col min="8201" max="8201" width="12.875" customWidth="1"/>
    <col min="8202" max="8202" width="8.75" bestFit="1" customWidth="1"/>
    <col min="8203" max="8203" width="13.375" customWidth="1"/>
    <col min="8204" max="8204" width="10.5" customWidth="1"/>
    <col min="8205" max="8205" width="13.5" customWidth="1"/>
    <col min="8449" max="8449" width="8" customWidth="1"/>
    <col min="8450" max="8450" width="12.5" bestFit="1" customWidth="1"/>
    <col min="8451" max="8451" width="14.125" customWidth="1"/>
    <col min="8452" max="8452" width="10.25" bestFit="1" customWidth="1"/>
    <col min="8453" max="8453" width="11.375" customWidth="1"/>
    <col min="8454" max="8454" width="9.75" customWidth="1"/>
    <col min="8455" max="8455" width="13.375" customWidth="1"/>
    <col min="8456" max="8456" width="8.75" customWidth="1"/>
    <col min="8457" max="8457" width="12.875" customWidth="1"/>
    <col min="8458" max="8458" width="8.75" bestFit="1" customWidth="1"/>
    <col min="8459" max="8459" width="13.375" customWidth="1"/>
    <col min="8460" max="8460" width="10.5" customWidth="1"/>
    <col min="8461" max="8461" width="13.5" customWidth="1"/>
    <col min="8705" max="8705" width="8" customWidth="1"/>
    <col min="8706" max="8706" width="12.5" bestFit="1" customWidth="1"/>
    <col min="8707" max="8707" width="14.125" customWidth="1"/>
    <col min="8708" max="8708" width="10.25" bestFit="1" customWidth="1"/>
    <col min="8709" max="8709" width="11.375" customWidth="1"/>
    <col min="8710" max="8710" width="9.75" customWidth="1"/>
    <col min="8711" max="8711" width="13.375" customWidth="1"/>
    <col min="8712" max="8712" width="8.75" customWidth="1"/>
    <col min="8713" max="8713" width="12.875" customWidth="1"/>
    <col min="8714" max="8714" width="8.75" bestFit="1" customWidth="1"/>
    <col min="8715" max="8715" width="13.375" customWidth="1"/>
    <col min="8716" max="8716" width="10.5" customWidth="1"/>
    <col min="8717" max="8717" width="13.5" customWidth="1"/>
    <col min="8961" max="8961" width="8" customWidth="1"/>
    <col min="8962" max="8962" width="12.5" bestFit="1" customWidth="1"/>
    <col min="8963" max="8963" width="14.125" customWidth="1"/>
    <col min="8964" max="8964" width="10.25" bestFit="1" customWidth="1"/>
    <col min="8965" max="8965" width="11.375" customWidth="1"/>
    <col min="8966" max="8966" width="9.75" customWidth="1"/>
    <col min="8967" max="8967" width="13.375" customWidth="1"/>
    <col min="8968" max="8968" width="8.75" customWidth="1"/>
    <col min="8969" max="8969" width="12.875" customWidth="1"/>
    <col min="8970" max="8970" width="8.75" bestFit="1" customWidth="1"/>
    <col min="8971" max="8971" width="13.375" customWidth="1"/>
    <col min="8972" max="8972" width="10.5" customWidth="1"/>
    <col min="8973" max="8973" width="13.5" customWidth="1"/>
    <col min="9217" max="9217" width="8" customWidth="1"/>
    <col min="9218" max="9218" width="12.5" bestFit="1" customWidth="1"/>
    <col min="9219" max="9219" width="14.125" customWidth="1"/>
    <col min="9220" max="9220" width="10.25" bestFit="1" customWidth="1"/>
    <col min="9221" max="9221" width="11.375" customWidth="1"/>
    <col min="9222" max="9222" width="9.75" customWidth="1"/>
    <col min="9223" max="9223" width="13.375" customWidth="1"/>
    <col min="9224" max="9224" width="8.75" customWidth="1"/>
    <col min="9225" max="9225" width="12.875" customWidth="1"/>
    <col min="9226" max="9226" width="8.75" bestFit="1" customWidth="1"/>
    <col min="9227" max="9227" width="13.375" customWidth="1"/>
    <col min="9228" max="9228" width="10.5" customWidth="1"/>
    <col min="9229" max="9229" width="13.5" customWidth="1"/>
    <col min="9473" max="9473" width="8" customWidth="1"/>
    <col min="9474" max="9474" width="12.5" bestFit="1" customWidth="1"/>
    <col min="9475" max="9475" width="14.125" customWidth="1"/>
    <col min="9476" max="9476" width="10.25" bestFit="1" customWidth="1"/>
    <col min="9477" max="9477" width="11.375" customWidth="1"/>
    <col min="9478" max="9478" width="9.75" customWidth="1"/>
    <col min="9479" max="9479" width="13.375" customWidth="1"/>
    <col min="9480" max="9480" width="8.75" customWidth="1"/>
    <col min="9481" max="9481" width="12.875" customWidth="1"/>
    <col min="9482" max="9482" width="8.75" bestFit="1" customWidth="1"/>
    <col min="9483" max="9483" width="13.375" customWidth="1"/>
    <col min="9484" max="9484" width="10.5" customWidth="1"/>
    <col min="9485" max="9485" width="13.5" customWidth="1"/>
    <col min="9729" max="9729" width="8" customWidth="1"/>
    <col min="9730" max="9730" width="12.5" bestFit="1" customWidth="1"/>
    <col min="9731" max="9731" width="14.125" customWidth="1"/>
    <col min="9732" max="9732" width="10.25" bestFit="1" customWidth="1"/>
    <col min="9733" max="9733" width="11.375" customWidth="1"/>
    <col min="9734" max="9734" width="9.75" customWidth="1"/>
    <col min="9735" max="9735" width="13.375" customWidth="1"/>
    <col min="9736" max="9736" width="8.75" customWidth="1"/>
    <col min="9737" max="9737" width="12.875" customWidth="1"/>
    <col min="9738" max="9738" width="8.75" bestFit="1" customWidth="1"/>
    <col min="9739" max="9739" width="13.375" customWidth="1"/>
    <col min="9740" max="9740" width="10.5" customWidth="1"/>
    <col min="9741" max="9741" width="13.5" customWidth="1"/>
    <col min="9985" max="9985" width="8" customWidth="1"/>
    <col min="9986" max="9986" width="12.5" bestFit="1" customWidth="1"/>
    <col min="9987" max="9987" width="14.125" customWidth="1"/>
    <col min="9988" max="9988" width="10.25" bestFit="1" customWidth="1"/>
    <col min="9989" max="9989" width="11.375" customWidth="1"/>
    <col min="9990" max="9990" width="9.75" customWidth="1"/>
    <col min="9991" max="9991" width="13.375" customWidth="1"/>
    <col min="9992" max="9992" width="8.75" customWidth="1"/>
    <col min="9993" max="9993" width="12.875" customWidth="1"/>
    <col min="9994" max="9994" width="8.75" bestFit="1" customWidth="1"/>
    <col min="9995" max="9995" width="13.375" customWidth="1"/>
    <col min="9996" max="9996" width="10.5" customWidth="1"/>
    <col min="9997" max="9997" width="13.5" customWidth="1"/>
    <col min="10241" max="10241" width="8" customWidth="1"/>
    <col min="10242" max="10242" width="12.5" bestFit="1" customWidth="1"/>
    <col min="10243" max="10243" width="14.125" customWidth="1"/>
    <col min="10244" max="10244" width="10.25" bestFit="1" customWidth="1"/>
    <col min="10245" max="10245" width="11.375" customWidth="1"/>
    <col min="10246" max="10246" width="9.75" customWidth="1"/>
    <col min="10247" max="10247" width="13.375" customWidth="1"/>
    <col min="10248" max="10248" width="8.75" customWidth="1"/>
    <col min="10249" max="10249" width="12.875" customWidth="1"/>
    <col min="10250" max="10250" width="8.75" bestFit="1" customWidth="1"/>
    <col min="10251" max="10251" width="13.375" customWidth="1"/>
    <col min="10252" max="10252" width="10.5" customWidth="1"/>
    <col min="10253" max="10253" width="13.5" customWidth="1"/>
    <col min="10497" max="10497" width="8" customWidth="1"/>
    <col min="10498" max="10498" width="12.5" bestFit="1" customWidth="1"/>
    <col min="10499" max="10499" width="14.125" customWidth="1"/>
    <col min="10500" max="10500" width="10.25" bestFit="1" customWidth="1"/>
    <col min="10501" max="10501" width="11.375" customWidth="1"/>
    <col min="10502" max="10502" width="9.75" customWidth="1"/>
    <col min="10503" max="10503" width="13.375" customWidth="1"/>
    <col min="10504" max="10504" width="8.75" customWidth="1"/>
    <col min="10505" max="10505" width="12.875" customWidth="1"/>
    <col min="10506" max="10506" width="8.75" bestFit="1" customWidth="1"/>
    <col min="10507" max="10507" width="13.375" customWidth="1"/>
    <col min="10508" max="10508" width="10.5" customWidth="1"/>
    <col min="10509" max="10509" width="13.5" customWidth="1"/>
    <col min="10753" max="10753" width="8" customWidth="1"/>
    <col min="10754" max="10754" width="12.5" bestFit="1" customWidth="1"/>
    <col min="10755" max="10755" width="14.125" customWidth="1"/>
    <col min="10756" max="10756" width="10.25" bestFit="1" customWidth="1"/>
    <col min="10757" max="10757" width="11.375" customWidth="1"/>
    <col min="10758" max="10758" width="9.75" customWidth="1"/>
    <col min="10759" max="10759" width="13.375" customWidth="1"/>
    <col min="10760" max="10760" width="8.75" customWidth="1"/>
    <col min="10761" max="10761" width="12.875" customWidth="1"/>
    <col min="10762" max="10762" width="8.75" bestFit="1" customWidth="1"/>
    <col min="10763" max="10763" width="13.375" customWidth="1"/>
    <col min="10764" max="10764" width="10.5" customWidth="1"/>
    <col min="10765" max="10765" width="13.5" customWidth="1"/>
    <col min="11009" max="11009" width="8" customWidth="1"/>
    <col min="11010" max="11010" width="12.5" bestFit="1" customWidth="1"/>
    <col min="11011" max="11011" width="14.125" customWidth="1"/>
    <col min="11012" max="11012" width="10.25" bestFit="1" customWidth="1"/>
    <col min="11013" max="11013" width="11.375" customWidth="1"/>
    <col min="11014" max="11014" width="9.75" customWidth="1"/>
    <col min="11015" max="11015" width="13.375" customWidth="1"/>
    <col min="11016" max="11016" width="8.75" customWidth="1"/>
    <col min="11017" max="11017" width="12.875" customWidth="1"/>
    <col min="11018" max="11018" width="8.75" bestFit="1" customWidth="1"/>
    <col min="11019" max="11019" width="13.375" customWidth="1"/>
    <col min="11020" max="11020" width="10.5" customWidth="1"/>
    <col min="11021" max="11021" width="13.5" customWidth="1"/>
    <col min="11265" max="11265" width="8" customWidth="1"/>
    <col min="11266" max="11266" width="12.5" bestFit="1" customWidth="1"/>
    <col min="11267" max="11267" width="14.125" customWidth="1"/>
    <col min="11268" max="11268" width="10.25" bestFit="1" customWidth="1"/>
    <col min="11269" max="11269" width="11.375" customWidth="1"/>
    <col min="11270" max="11270" width="9.75" customWidth="1"/>
    <col min="11271" max="11271" width="13.375" customWidth="1"/>
    <col min="11272" max="11272" width="8.75" customWidth="1"/>
    <col min="11273" max="11273" width="12.875" customWidth="1"/>
    <col min="11274" max="11274" width="8.75" bestFit="1" customWidth="1"/>
    <col min="11275" max="11275" width="13.375" customWidth="1"/>
    <col min="11276" max="11276" width="10.5" customWidth="1"/>
    <col min="11277" max="11277" width="13.5" customWidth="1"/>
    <col min="11521" max="11521" width="8" customWidth="1"/>
    <col min="11522" max="11522" width="12.5" bestFit="1" customWidth="1"/>
    <col min="11523" max="11523" width="14.125" customWidth="1"/>
    <col min="11524" max="11524" width="10.25" bestFit="1" customWidth="1"/>
    <col min="11525" max="11525" width="11.375" customWidth="1"/>
    <col min="11526" max="11526" width="9.75" customWidth="1"/>
    <col min="11527" max="11527" width="13.375" customWidth="1"/>
    <col min="11528" max="11528" width="8.75" customWidth="1"/>
    <col min="11529" max="11529" width="12.875" customWidth="1"/>
    <col min="11530" max="11530" width="8.75" bestFit="1" customWidth="1"/>
    <col min="11531" max="11531" width="13.375" customWidth="1"/>
    <col min="11532" max="11532" width="10.5" customWidth="1"/>
    <col min="11533" max="11533" width="13.5" customWidth="1"/>
    <col min="11777" max="11777" width="8" customWidth="1"/>
    <col min="11778" max="11778" width="12.5" bestFit="1" customWidth="1"/>
    <col min="11779" max="11779" width="14.125" customWidth="1"/>
    <col min="11780" max="11780" width="10.25" bestFit="1" customWidth="1"/>
    <col min="11781" max="11781" width="11.375" customWidth="1"/>
    <col min="11782" max="11782" width="9.75" customWidth="1"/>
    <col min="11783" max="11783" width="13.375" customWidth="1"/>
    <col min="11784" max="11784" width="8.75" customWidth="1"/>
    <col min="11785" max="11785" width="12.875" customWidth="1"/>
    <col min="11786" max="11786" width="8.75" bestFit="1" customWidth="1"/>
    <col min="11787" max="11787" width="13.375" customWidth="1"/>
    <col min="11788" max="11788" width="10.5" customWidth="1"/>
    <col min="11789" max="11789" width="13.5" customWidth="1"/>
    <col min="12033" max="12033" width="8" customWidth="1"/>
    <col min="12034" max="12034" width="12.5" bestFit="1" customWidth="1"/>
    <col min="12035" max="12035" width="14.125" customWidth="1"/>
    <col min="12036" max="12036" width="10.25" bestFit="1" customWidth="1"/>
    <col min="12037" max="12037" width="11.375" customWidth="1"/>
    <col min="12038" max="12038" width="9.75" customWidth="1"/>
    <col min="12039" max="12039" width="13.375" customWidth="1"/>
    <col min="12040" max="12040" width="8.75" customWidth="1"/>
    <col min="12041" max="12041" width="12.875" customWidth="1"/>
    <col min="12042" max="12042" width="8.75" bestFit="1" customWidth="1"/>
    <col min="12043" max="12043" width="13.375" customWidth="1"/>
    <col min="12044" max="12044" width="10.5" customWidth="1"/>
    <col min="12045" max="12045" width="13.5" customWidth="1"/>
    <col min="12289" max="12289" width="8" customWidth="1"/>
    <col min="12290" max="12290" width="12.5" bestFit="1" customWidth="1"/>
    <col min="12291" max="12291" width="14.125" customWidth="1"/>
    <col min="12292" max="12292" width="10.25" bestFit="1" customWidth="1"/>
    <col min="12293" max="12293" width="11.375" customWidth="1"/>
    <col min="12294" max="12294" width="9.75" customWidth="1"/>
    <col min="12295" max="12295" width="13.375" customWidth="1"/>
    <col min="12296" max="12296" width="8.75" customWidth="1"/>
    <col min="12297" max="12297" width="12.875" customWidth="1"/>
    <col min="12298" max="12298" width="8.75" bestFit="1" customWidth="1"/>
    <col min="12299" max="12299" width="13.375" customWidth="1"/>
    <col min="12300" max="12300" width="10.5" customWidth="1"/>
    <col min="12301" max="12301" width="13.5" customWidth="1"/>
    <col min="12545" max="12545" width="8" customWidth="1"/>
    <col min="12546" max="12546" width="12.5" bestFit="1" customWidth="1"/>
    <col min="12547" max="12547" width="14.125" customWidth="1"/>
    <col min="12548" max="12548" width="10.25" bestFit="1" customWidth="1"/>
    <col min="12549" max="12549" width="11.375" customWidth="1"/>
    <col min="12550" max="12550" width="9.75" customWidth="1"/>
    <col min="12551" max="12551" width="13.375" customWidth="1"/>
    <col min="12552" max="12552" width="8.75" customWidth="1"/>
    <col min="12553" max="12553" width="12.875" customWidth="1"/>
    <col min="12554" max="12554" width="8.75" bestFit="1" customWidth="1"/>
    <col min="12555" max="12555" width="13.375" customWidth="1"/>
    <col min="12556" max="12556" width="10.5" customWidth="1"/>
    <col min="12557" max="12557" width="13.5" customWidth="1"/>
    <col min="12801" max="12801" width="8" customWidth="1"/>
    <col min="12802" max="12802" width="12.5" bestFit="1" customWidth="1"/>
    <col min="12803" max="12803" width="14.125" customWidth="1"/>
    <col min="12804" max="12804" width="10.25" bestFit="1" customWidth="1"/>
    <col min="12805" max="12805" width="11.375" customWidth="1"/>
    <col min="12806" max="12806" width="9.75" customWidth="1"/>
    <col min="12807" max="12807" width="13.375" customWidth="1"/>
    <col min="12808" max="12808" width="8.75" customWidth="1"/>
    <col min="12809" max="12809" width="12.875" customWidth="1"/>
    <col min="12810" max="12810" width="8.75" bestFit="1" customWidth="1"/>
    <col min="12811" max="12811" width="13.375" customWidth="1"/>
    <col min="12812" max="12812" width="10.5" customWidth="1"/>
    <col min="12813" max="12813" width="13.5" customWidth="1"/>
    <col min="13057" max="13057" width="8" customWidth="1"/>
    <col min="13058" max="13058" width="12.5" bestFit="1" customWidth="1"/>
    <col min="13059" max="13059" width="14.125" customWidth="1"/>
    <col min="13060" max="13060" width="10.25" bestFit="1" customWidth="1"/>
    <col min="13061" max="13061" width="11.375" customWidth="1"/>
    <col min="13062" max="13062" width="9.75" customWidth="1"/>
    <col min="13063" max="13063" width="13.375" customWidth="1"/>
    <col min="13064" max="13064" width="8.75" customWidth="1"/>
    <col min="13065" max="13065" width="12.875" customWidth="1"/>
    <col min="13066" max="13066" width="8.75" bestFit="1" customWidth="1"/>
    <col min="13067" max="13067" width="13.375" customWidth="1"/>
    <col min="13068" max="13068" width="10.5" customWidth="1"/>
    <col min="13069" max="13069" width="13.5" customWidth="1"/>
    <col min="13313" max="13313" width="8" customWidth="1"/>
    <col min="13314" max="13314" width="12.5" bestFit="1" customWidth="1"/>
    <col min="13315" max="13315" width="14.125" customWidth="1"/>
    <col min="13316" max="13316" width="10.25" bestFit="1" customWidth="1"/>
    <col min="13317" max="13317" width="11.375" customWidth="1"/>
    <col min="13318" max="13318" width="9.75" customWidth="1"/>
    <col min="13319" max="13319" width="13.375" customWidth="1"/>
    <col min="13320" max="13320" width="8.75" customWidth="1"/>
    <col min="13321" max="13321" width="12.875" customWidth="1"/>
    <col min="13322" max="13322" width="8.75" bestFit="1" customWidth="1"/>
    <col min="13323" max="13323" width="13.375" customWidth="1"/>
    <col min="13324" max="13324" width="10.5" customWidth="1"/>
    <col min="13325" max="13325" width="13.5" customWidth="1"/>
    <col min="13569" max="13569" width="8" customWidth="1"/>
    <col min="13570" max="13570" width="12.5" bestFit="1" customWidth="1"/>
    <col min="13571" max="13571" width="14.125" customWidth="1"/>
    <col min="13572" max="13572" width="10.25" bestFit="1" customWidth="1"/>
    <col min="13573" max="13573" width="11.375" customWidth="1"/>
    <col min="13574" max="13574" width="9.75" customWidth="1"/>
    <col min="13575" max="13575" width="13.375" customWidth="1"/>
    <col min="13576" max="13576" width="8.75" customWidth="1"/>
    <col min="13577" max="13577" width="12.875" customWidth="1"/>
    <col min="13578" max="13578" width="8.75" bestFit="1" customWidth="1"/>
    <col min="13579" max="13579" width="13.375" customWidth="1"/>
    <col min="13580" max="13580" width="10.5" customWidth="1"/>
    <col min="13581" max="13581" width="13.5" customWidth="1"/>
    <col min="13825" max="13825" width="8" customWidth="1"/>
    <col min="13826" max="13826" width="12.5" bestFit="1" customWidth="1"/>
    <col min="13827" max="13827" width="14.125" customWidth="1"/>
    <col min="13828" max="13828" width="10.25" bestFit="1" customWidth="1"/>
    <col min="13829" max="13829" width="11.375" customWidth="1"/>
    <col min="13830" max="13830" width="9.75" customWidth="1"/>
    <col min="13831" max="13831" width="13.375" customWidth="1"/>
    <col min="13832" max="13832" width="8.75" customWidth="1"/>
    <col min="13833" max="13833" width="12.875" customWidth="1"/>
    <col min="13834" max="13834" width="8.75" bestFit="1" customWidth="1"/>
    <col min="13835" max="13835" width="13.375" customWidth="1"/>
    <col min="13836" max="13836" width="10.5" customWidth="1"/>
    <col min="13837" max="13837" width="13.5" customWidth="1"/>
    <col min="14081" max="14081" width="8" customWidth="1"/>
    <col min="14082" max="14082" width="12.5" bestFit="1" customWidth="1"/>
    <col min="14083" max="14083" width="14.125" customWidth="1"/>
    <col min="14084" max="14084" width="10.25" bestFit="1" customWidth="1"/>
    <col min="14085" max="14085" width="11.375" customWidth="1"/>
    <col min="14086" max="14086" width="9.75" customWidth="1"/>
    <col min="14087" max="14087" width="13.375" customWidth="1"/>
    <col min="14088" max="14088" width="8.75" customWidth="1"/>
    <col min="14089" max="14089" width="12.875" customWidth="1"/>
    <col min="14090" max="14090" width="8.75" bestFit="1" customWidth="1"/>
    <col min="14091" max="14091" width="13.375" customWidth="1"/>
    <col min="14092" max="14092" width="10.5" customWidth="1"/>
    <col min="14093" max="14093" width="13.5" customWidth="1"/>
    <col min="14337" max="14337" width="8" customWidth="1"/>
    <col min="14338" max="14338" width="12.5" bestFit="1" customWidth="1"/>
    <col min="14339" max="14339" width="14.125" customWidth="1"/>
    <col min="14340" max="14340" width="10.25" bestFit="1" customWidth="1"/>
    <col min="14341" max="14341" width="11.375" customWidth="1"/>
    <col min="14342" max="14342" width="9.75" customWidth="1"/>
    <col min="14343" max="14343" width="13.375" customWidth="1"/>
    <col min="14344" max="14344" width="8.75" customWidth="1"/>
    <col min="14345" max="14345" width="12.875" customWidth="1"/>
    <col min="14346" max="14346" width="8.75" bestFit="1" customWidth="1"/>
    <col min="14347" max="14347" width="13.375" customWidth="1"/>
    <col min="14348" max="14348" width="10.5" customWidth="1"/>
    <col min="14349" max="14349" width="13.5" customWidth="1"/>
    <col min="14593" max="14593" width="8" customWidth="1"/>
    <col min="14594" max="14594" width="12.5" bestFit="1" customWidth="1"/>
    <col min="14595" max="14595" width="14.125" customWidth="1"/>
    <col min="14596" max="14596" width="10.25" bestFit="1" customWidth="1"/>
    <col min="14597" max="14597" width="11.375" customWidth="1"/>
    <col min="14598" max="14598" width="9.75" customWidth="1"/>
    <col min="14599" max="14599" width="13.375" customWidth="1"/>
    <col min="14600" max="14600" width="8.75" customWidth="1"/>
    <col min="14601" max="14601" width="12.875" customWidth="1"/>
    <col min="14602" max="14602" width="8.75" bestFit="1" customWidth="1"/>
    <col min="14603" max="14603" width="13.375" customWidth="1"/>
    <col min="14604" max="14604" width="10.5" customWidth="1"/>
    <col min="14605" max="14605" width="13.5" customWidth="1"/>
    <col min="14849" max="14849" width="8" customWidth="1"/>
    <col min="14850" max="14850" width="12.5" bestFit="1" customWidth="1"/>
    <col min="14851" max="14851" width="14.125" customWidth="1"/>
    <col min="14852" max="14852" width="10.25" bestFit="1" customWidth="1"/>
    <col min="14853" max="14853" width="11.375" customWidth="1"/>
    <col min="14854" max="14854" width="9.75" customWidth="1"/>
    <col min="14855" max="14855" width="13.375" customWidth="1"/>
    <col min="14856" max="14856" width="8.75" customWidth="1"/>
    <col min="14857" max="14857" width="12.875" customWidth="1"/>
    <col min="14858" max="14858" width="8.75" bestFit="1" customWidth="1"/>
    <col min="14859" max="14859" width="13.375" customWidth="1"/>
    <col min="14860" max="14860" width="10.5" customWidth="1"/>
    <col min="14861" max="14861" width="13.5" customWidth="1"/>
    <col min="15105" max="15105" width="8" customWidth="1"/>
    <col min="15106" max="15106" width="12.5" bestFit="1" customWidth="1"/>
    <col min="15107" max="15107" width="14.125" customWidth="1"/>
    <col min="15108" max="15108" width="10.25" bestFit="1" customWidth="1"/>
    <col min="15109" max="15109" width="11.375" customWidth="1"/>
    <col min="15110" max="15110" width="9.75" customWidth="1"/>
    <col min="15111" max="15111" width="13.375" customWidth="1"/>
    <col min="15112" max="15112" width="8.75" customWidth="1"/>
    <col min="15113" max="15113" width="12.875" customWidth="1"/>
    <col min="15114" max="15114" width="8.75" bestFit="1" customWidth="1"/>
    <col min="15115" max="15115" width="13.375" customWidth="1"/>
    <col min="15116" max="15116" width="10.5" customWidth="1"/>
    <col min="15117" max="15117" width="13.5" customWidth="1"/>
    <col min="15361" max="15361" width="8" customWidth="1"/>
    <col min="15362" max="15362" width="12.5" bestFit="1" customWidth="1"/>
    <col min="15363" max="15363" width="14.125" customWidth="1"/>
    <col min="15364" max="15364" width="10.25" bestFit="1" customWidth="1"/>
    <col min="15365" max="15365" width="11.375" customWidth="1"/>
    <col min="15366" max="15366" width="9.75" customWidth="1"/>
    <col min="15367" max="15367" width="13.375" customWidth="1"/>
    <col min="15368" max="15368" width="8.75" customWidth="1"/>
    <col min="15369" max="15369" width="12.875" customWidth="1"/>
    <col min="15370" max="15370" width="8.75" bestFit="1" customWidth="1"/>
    <col min="15371" max="15371" width="13.375" customWidth="1"/>
    <col min="15372" max="15372" width="10.5" customWidth="1"/>
    <col min="15373" max="15373" width="13.5" customWidth="1"/>
    <col min="15617" max="15617" width="8" customWidth="1"/>
    <col min="15618" max="15618" width="12.5" bestFit="1" customWidth="1"/>
    <col min="15619" max="15619" width="14.125" customWidth="1"/>
    <col min="15620" max="15620" width="10.25" bestFit="1" customWidth="1"/>
    <col min="15621" max="15621" width="11.375" customWidth="1"/>
    <col min="15622" max="15622" width="9.75" customWidth="1"/>
    <col min="15623" max="15623" width="13.375" customWidth="1"/>
    <col min="15624" max="15624" width="8.75" customWidth="1"/>
    <col min="15625" max="15625" width="12.875" customWidth="1"/>
    <col min="15626" max="15626" width="8.75" bestFit="1" customWidth="1"/>
    <col min="15627" max="15627" width="13.375" customWidth="1"/>
    <col min="15628" max="15628" width="10.5" customWidth="1"/>
    <col min="15629" max="15629" width="13.5" customWidth="1"/>
    <col min="15873" max="15873" width="8" customWidth="1"/>
    <col min="15874" max="15874" width="12.5" bestFit="1" customWidth="1"/>
    <col min="15875" max="15875" width="14.125" customWidth="1"/>
    <col min="15876" max="15876" width="10.25" bestFit="1" customWidth="1"/>
    <col min="15877" max="15877" width="11.375" customWidth="1"/>
    <col min="15878" max="15878" width="9.75" customWidth="1"/>
    <col min="15879" max="15879" width="13.375" customWidth="1"/>
    <col min="15880" max="15880" width="8.75" customWidth="1"/>
    <col min="15881" max="15881" width="12.875" customWidth="1"/>
    <col min="15882" max="15882" width="8.75" bestFit="1" customWidth="1"/>
    <col min="15883" max="15883" width="13.375" customWidth="1"/>
    <col min="15884" max="15884" width="10.5" customWidth="1"/>
    <col min="15885" max="15885" width="13.5" customWidth="1"/>
    <col min="16129" max="16129" width="8" customWidth="1"/>
    <col min="16130" max="16130" width="12.5" bestFit="1" customWidth="1"/>
    <col min="16131" max="16131" width="14.125" customWidth="1"/>
    <col min="16132" max="16132" width="10.25" bestFit="1" customWidth="1"/>
    <col min="16133" max="16133" width="11.375" customWidth="1"/>
    <col min="16134" max="16134" width="9.75" customWidth="1"/>
    <col min="16135" max="16135" width="13.375" customWidth="1"/>
    <col min="16136" max="16136" width="8.75" customWidth="1"/>
    <col min="16137" max="16137" width="12.875" customWidth="1"/>
    <col min="16138" max="16138" width="8.75" bestFit="1" customWidth="1"/>
    <col min="16139" max="16139" width="13.375" customWidth="1"/>
    <col min="16140" max="16140" width="10.5" customWidth="1"/>
    <col min="16141" max="16141" width="13.5" customWidth="1"/>
  </cols>
  <sheetData>
    <row r="1" spans="1:13" s="1" customFormat="1" ht="17.25" customHeight="1" x14ac:dyDescent="0.15"/>
    <row r="2" spans="1:13" s="1" customFormat="1" ht="17.2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" customFormat="1" ht="17.25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17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1" customFormat="1" ht="17.25" customHeight="1" x14ac:dyDescent="0.15"/>
    <row r="6" spans="1:13" s="1" customFormat="1" ht="17.25" customHeight="1" x14ac:dyDescent="0.15"/>
    <row r="7" spans="1:13" s="1" customFormat="1" ht="13.5" customHeight="1" x14ac:dyDescent="0.15">
      <c r="A7" s="3" t="s">
        <v>44</v>
      </c>
      <c r="B7" s="4"/>
      <c r="C7" s="4"/>
      <c r="D7" s="4"/>
      <c r="E7" s="3"/>
      <c r="F7" s="4"/>
      <c r="G7" s="4"/>
      <c r="H7" s="4"/>
      <c r="I7" s="4"/>
      <c r="L7" s="4"/>
      <c r="M7" s="4"/>
    </row>
    <row r="8" spans="1:13" s="1" customFormat="1" ht="13.5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1" customFormat="1" ht="12.75" x14ac:dyDescent="0.15">
      <c r="A9" s="5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7" t="s">
        <v>9</v>
      </c>
      <c r="H9" s="6" t="s">
        <v>10</v>
      </c>
      <c r="I9" s="7" t="s">
        <v>11</v>
      </c>
      <c r="J9" s="6" t="s">
        <v>12</v>
      </c>
      <c r="K9" s="7" t="s">
        <v>13</v>
      </c>
      <c r="L9" s="5" t="s">
        <v>14</v>
      </c>
      <c r="M9" s="6" t="s">
        <v>15</v>
      </c>
    </row>
    <row r="10" spans="1:13" s="1" customFormat="1" ht="13.5" thickBot="1" x14ac:dyDescent="0.2">
      <c r="A10" s="8" t="s">
        <v>16</v>
      </c>
      <c r="B10" s="9">
        <v>3.75</v>
      </c>
      <c r="C10" s="10" t="s">
        <v>17</v>
      </c>
      <c r="D10" s="9" t="s">
        <v>38</v>
      </c>
      <c r="E10" s="10" t="s">
        <v>17</v>
      </c>
      <c r="F10" s="9" t="s">
        <v>39</v>
      </c>
      <c r="G10" s="11" t="s">
        <v>17</v>
      </c>
      <c r="H10" s="27" t="s">
        <v>40</v>
      </c>
      <c r="I10" s="11" t="s">
        <v>17</v>
      </c>
      <c r="J10" s="9" t="s">
        <v>41</v>
      </c>
      <c r="K10" s="11" t="s">
        <v>17</v>
      </c>
      <c r="L10" s="12" t="s">
        <v>42</v>
      </c>
      <c r="M10" s="10" t="s">
        <v>17</v>
      </c>
    </row>
    <row r="11" spans="1:13" s="1" customFormat="1" ht="12.75" x14ac:dyDescent="0.15">
      <c r="A11" s="13">
        <v>44105</v>
      </c>
      <c r="B11" s="14">
        <v>69961</v>
      </c>
      <c r="C11" s="15">
        <f>SUM(B11*B10)</f>
        <v>262353.75</v>
      </c>
      <c r="D11" s="14">
        <v>0</v>
      </c>
      <c r="E11" s="15">
        <v>0</v>
      </c>
      <c r="F11" s="14">
        <v>0</v>
      </c>
      <c r="G11" s="15">
        <v>0</v>
      </c>
      <c r="H11" s="14">
        <v>0</v>
      </c>
      <c r="I11" s="15">
        <v>0</v>
      </c>
      <c r="J11" s="14">
        <v>0</v>
      </c>
      <c r="K11" s="15">
        <v>0</v>
      </c>
      <c r="L11" s="14">
        <v>0</v>
      </c>
      <c r="M11" s="15">
        <v>0</v>
      </c>
    </row>
    <row r="12" spans="1:13" s="1" customFormat="1" ht="12.75" x14ac:dyDescent="0.15">
      <c r="A12" s="13">
        <v>44136</v>
      </c>
      <c r="B12" s="14">
        <v>71552</v>
      </c>
      <c r="C12" s="15">
        <f>SUM(B12*B10)</f>
        <v>268320</v>
      </c>
      <c r="D12" s="14">
        <v>0</v>
      </c>
      <c r="E12" s="15">
        <v>0</v>
      </c>
      <c r="F12" s="14">
        <v>0</v>
      </c>
      <c r="G12" s="15">
        <v>0</v>
      </c>
      <c r="H12" s="14">
        <v>0</v>
      </c>
      <c r="I12" s="15">
        <v>0</v>
      </c>
      <c r="J12" s="14">
        <v>0</v>
      </c>
      <c r="K12" s="15">
        <v>0</v>
      </c>
      <c r="L12" s="14">
        <v>0</v>
      </c>
      <c r="M12" s="15">
        <v>0</v>
      </c>
    </row>
    <row r="13" spans="1:13" s="1" customFormat="1" ht="12.75" x14ac:dyDescent="0.15">
      <c r="A13" s="13">
        <v>44166</v>
      </c>
      <c r="B13" s="14">
        <v>71609</v>
      </c>
      <c r="C13" s="15">
        <f>SUM(B13*B10)</f>
        <v>268533.75</v>
      </c>
      <c r="D13" s="14">
        <v>0</v>
      </c>
      <c r="E13" s="15">
        <v>0</v>
      </c>
      <c r="F13" s="14">
        <v>0</v>
      </c>
      <c r="G13" s="15">
        <v>0</v>
      </c>
      <c r="H13" s="14">
        <v>0</v>
      </c>
      <c r="I13" s="15">
        <v>0</v>
      </c>
      <c r="J13" s="14">
        <v>0</v>
      </c>
      <c r="K13" s="15">
        <v>0</v>
      </c>
      <c r="L13" s="14">
        <v>0</v>
      </c>
      <c r="M13" s="15">
        <v>0</v>
      </c>
    </row>
    <row r="14" spans="1:13" s="1" customFormat="1" ht="12.75" x14ac:dyDescent="0.15">
      <c r="A14" s="13">
        <v>44197</v>
      </c>
      <c r="B14" s="14">
        <v>63410</v>
      </c>
      <c r="C14" s="15">
        <f>SUM(B14*B10)</f>
        <v>237787.5</v>
      </c>
      <c r="D14" s="14">
        <v>0</v>
      </c>
      <c r="E14" s="15">
        <v>0</v>
      </c>
      <c r="F14" s="14">
        <v>0</v>
      </c>
      <c r="G14" s="15">
        <v>0</v>
      </c>
      <c r="H14" s="14">
        <v>0</v>
      </c>
      <c r="I14" s="15">
        <v>0</v>
      </c>
      <c r="J14" s="14">
        <v>0</v>
      </c>
      <c r="K14" s="15">
        <v>0</v>
      </c>
      <c r="L14" s="14">
        <v>0</v>
      </c>
      <c r="M14" s="15">
        <v>0</v>
      </c>
    </row>
    <row r="15" spans="1:13" s="1" customFormat="1" ht="12.75" x14ac:dyDescent="0.15">
      <c r="A15" s="13">
        <v>44228</v>
      </c>
      <c r="B15" s="14">
        <v>59671</v>
      </c>
      <c r="C15" s="15">
        <f>SUM(B15*B10)</f>
        <v>223766.25</v>
      </c>
      <c r="D15" s="14">
        <v>0</v>
      </c>
      <c r="E15" s="15">
        <v>0</v>
      </c>
      <c r="F15" s="14">
        <v>0</v>
      </c>
      <c r="G15" s="15">
        <v>0</v>
      </c>
      <c r="H15" s="14">
        <v>0</v>
      </c>
      <c r="I15" s="15">
        <v>0</v>
      </c>
      <c r="J15" s="14">
        <v>0</v>
      </c>
      <c r="K15" s="15">
        <v>0</v>
      </c>
      <c r="L15" s="14">
        <v>0</v>
      </c>
      <c r="M15" s="15">
        <v>0</v>
      </c>
    </row>
    <row r="16" spans="1:13" s="1" customFormat="1" ht="12.75" x14ac:dyDescent="0.15">
      <c r="A16" s="13">
        <v>44256</v>
      </c>
      <c r="B16" s="14">
        <v>76640</v>
      </c>
      <c r="C16" s="15">
        <f>SUM(B16*B10)</f>
        <v>287400</v>
      </c>
      <c r="D16" s="14">
        <v>0</v>
      </c>
      <c r="E16" s="15">
        <v>0</v>
      </c>
      <c r="F16" s="14">
        <v>0</v>
      </c>
      <c r="G16" s="15">
        <v>0</v>
      </c>
      <c r="H16" s="14">
        <v>0</v>
      </c>
      <c r="I16" s="15">
        <v>0</v>
      </c>
      <c r="J16" s="14">
        <v>0</v>
      </c>
      <c r="K16" s="15">
        <v>0</v>
      </c>
      <c r="L16" s="14">
        <v>0</v>
      </c>
      <c r="M16" s="15">
        <v>0</v>
      </c>
    </row>
    <row r="17" spans="1:13" s="1" customFormat="1" ht="12.75" x14ac:dyDescent="0.15">
      <c r="A17" s="13">
        <v>44287</v>
      </c>
      <c r="B17" s="14">
        <v>79052</v>
      </c>
      <c r="C17" s="15">
        <f>SUM(B17*B10)</f>
        <v>296445</v>
      </c>
      <c r="D17" s="14">
        <v>0</v>
      </c>
      <c r="E17" s="15">
        <v>0</v>
      </c>
      <c r="F17" s="14">
        <v>0</v>
      </c>
      <c r="G17" s="15">
        <v>0</v>
      </c>
      <c r="H17" s="14">
        <v>0</v>
      </c>
      <c r="I17" s="15">
        <v>0</v>
      </c>
      <c r="J17" s="14">
        <v>0</v>
      </c>
      <c r="K17" s="15">
        <v>0</v>
      </c>
      <c r="L17" s="14">
        <v>0</v>
      </c>
      <c r="M17" s="15">
        <v>0</v>
      </c>
    </row>
    <row r="18" spans="1:13" s="1" customFormat="1" ht="12.75" x14ac:dyDescent="0.15">
      <c r="A18" s="13">
        <v>44317</v>
      </c>
      <c r="B18" s="14">
        <v>88769</v>
      </c>
      <c r="C18" s="15">
        <f>SUM(B18*B10)</f>
        <v>332883.75</v>
      </c>
      <c r="D18" s="14">
        <v>0</v>
      </c>
      <c r="E18" s="15">
        <v>0</v>
      </c>
      <c r="F18" s="14">
        <v>0</v>
      </c>
      <c r="G18" s="15">
        <v>0</v>
      </c>
      <c r="H18" s="14">
        <v>0</v>
      </c>
      <c r="I18" s="15">
        <v>0</v>
      </c>
      <c r="J18" s="14">
        <v>0</v>
      </c>
      <c r="K18" s="15">
        <v>0</v>
      </c>
      <c r="L18" s="14">
        <v>0</v>
      </c>
      <c r="M18" s="15">
        <v>0</v>
      </c>
    </row>
    <row r="19" spans="1:13" s="1" customFormat="1" ht="12.75" x14ac:dyDescent="0.15">
      <c r="A19" s="13">
        <v>44348</v>
      </c>
      <c r="B19" s="14">
        <v>89508</v>
      </c>
      <c r="C19" s="15">
        <f>SUM(B19*B10)</f>
        <v>335655</v>
      </c>
      <c r="D19" s="14">
        <v>0</v>
      </c>
      <c r="E19" s="15">
        <v>0</v>
      </c>
      <c r="F19" s="14">
        <v>0</v>
      </c>
      <c r="G19" s="15">
        <v>0</v>
      </c>
      <c r="H19" s="14">
        <v>0</v>
      </c>
      <c r="I19" s="15">
        <v>0</v>
      </c>
      <c r="J19" s="14">
        <v>0</v>
      </c>
      <c r="K19" s="15">
        <v>0</v>
      </c>
      <c r="L19" s="14">
        <v>0</v>
      </c>
      <c r="M19" s="15">
        <v>0</v>
      </c>
    </row>
    <row r="20" spans="1:13" s="1" customFormat="1" ht="12.75" x14ac:dyDescent="0.15">
      <c r="A20" s="13">
        <v>44378</v>
      </c>
      <c r="B20" s="14">
        <v>91877</v>
      </c>
      <c r="C20" s="15">
        <f>SUM(B20*B10)</f>
        <v>344538.75</v>
      </c>
      <c r="D20" s="14">
        <v>0</v>
      </c>
      <c r="E20" s="15">
        <v>0</v>
      </c>
      <c r="F20" s="14">
        <v>0</v>
      </c>
      <c r="G20" s="15">
        <v>0</v>
      </c>
      <c r="H20" s="14">
        <v>0</v>
      </c>
      <c r="I20" s="15">
        <v>0</v>
      </c>
      <c r="J20" s="14">
        <v>0</v>
      </c>
      <c r="K20" s="15">
        <v>0</v>
      </c>
      <c r="L20" s="14">
        <v>0</v>
      </c>
      <c r="M20" s="15">
        <v>0</v>
      </c>
    </row>
    <row r="21" spans="1:13" s="1" customFormat="1" ht="12.75" x14ac:dyDescent="0.15">
      <c r="A21" s="13">
        <v>44409</v>
      </c>
      <c r="B21" s="14">
        <v>85210</v>
      </c>
      <c r="C21" s="15">
        <f>SUM(B21*B10)</f>
        <v>319537.5</v>
      </c>
      <c r="D21" s="14">
        <v>0</v>
      </c>
      <c r="E21" s="15">
        <v>0</v>
      </c>
      <c r="F21" s="14">
        <v>0</v>
      </c>
      <c r="G21" s="15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15">
        <v>0</v>
      </c>
    </row>
    <row r="22" spans="1:13" s="1" customFormat="1" ht="12.75" x14ac:dyDescent="0.15">
      <c r="A22" s="13">
        <v>44440</v>
      </c>
      <c r="B22" s="14">
        <v>88611</v>
      </c>
      <c r="C22" s="15">
        <f>SUM(B22*B10)</f>
        <v>332291.25</v>
      </c>
      <c r="D22" s="14">
        <v>0</v>
      </c>
      <c r="E22" s="15">
        <v>0</v>
      </c>
      <c r="F22" s="14">
        <v>0</v>
      </c>
      <c r="G22" s="15">
        <v>0</v>
      </c>
      <c r="H22" s="14">
        <v>0</v>
      </c>
      <c r="I22" s="15">
        <v>0</v>
      </c>
      <c r="J22" s="14">
        <v>0</v>
      </c>
      <c r="K22" s="15">
        <v>0</v>
      </c>
      <c r="L22" s="14">
        <v>0</v>
      </c>
      <c r="M22" s="15">
        <v>0</v>
      </c>
    </row>
    <row r="23" spans="1:13" s="1" customFormat="1" ht="13.5" thickBot="1" x14ac:dyDescent="0.2">
      <c r="A23" s="16" t="s">
        <v>45</v>
      </c>
      <c r="B23" s="17">
        <f t="shared" ref="B23:M23" si="0">SUM(B11:B22)</f>
        <v>935870</v>
      </c>
      <c r="C23" s="18">
        <f t="shared" si="0"/>
        <v>3509512.5</v>
      </c>
      <c r="D23" s="17">
        <f t="shared" si="0"/>
        <v>0</v>
      </c>
      <c r="E23" s="18">
        <v>0</v>
      </c>
      <c r="F23" s="19">
        <f t="shared" si="0"/>
        <v>0</v>
      </c>
      <c r="G23" s="18">
        <f t="shared" si="0"/>
        <v>0</v>
      </c>
      <c r="H23" s="19">
        <f t="shared" si="0"/>
        <v>0</v>
      </c>
      <c r="I23" s="18">
        <f t="shared" si="0"/>
        <v>0</v>
      </c>
      <c r="J23" s="19">
        <f t="shared" si="0"/>
        <v>0</v>
      </c>
      <c r="K23" s="18">
        <f t="shared" si="0"/>
        <v>0</v>
      </c>
      <c r="L23" s="19">
        <f t="shared" si="0"/>
        <v>0</v>
      </c>
      <c r="M23" s="18">
        <f t="shared" si="0"/>
        <v>0</v>
      </c>
    </row>
    <row r="24" spans="1:13" s="1" customFormat="1" ht="12.75" thickBot="1" x14ac:dyDescent="0.2"/>
    <row r="25" spans="1:13" s="1" customFormat="1" ht="12.75" x14ac:dyDescent="0.15">
      <c r="A25" s="5" t="s">
        <v>3</v>
      </c>
      <c r="B25" s="6" t="s">
        <v>19</v>
      </c>
      <c r="C25" s="6" t="s">
        <v>20</v>
      </c>
      <c r="D25" s="6" t="s">
        <v>21</v>
      </c>
      <c r="E25" s="6" t="s">
        <v>22</v>
      </c>
      <c r="F25" s="6" t="s">
        <v>23</v>
      </c>
      <c r="G25" s="6" t="s">
        <v>24</v>
      </c>
      <c r="H25" s="6" t="s">
        <v>25</v>
      </c>
      <c r="I25" s="6" t="s">
        <v>26</v>
      </c>
      <c r="J25" s="6" t="s">
        <v>27</v>
      </c>
      <c r="K25" s="6" t="s">
        <v>28</v>
      </c>
      <c r="L25" s="6" t="s">
        <v>29</v>
      </c>
      <c r="M25" s="6" t="s">
        <v>29</v>
      </c>
    </row>
    <row r="26" spans="1:13" s="1" customFormat="1" ht="13.5" thickBot="1" x14ac:dyDescent="0.2">
      <c r="A26" s="8" t="s">
        <v>16</v>
      </c>
      <c r="B26" s="9">
        <v>1</v>
      </c>
      <c r="C26" s="10" t="s">
        <v>17</v>
      </c>
      <c r="D26" s="9" t="s">
        <v>30</v>
      </c>
      <c r="E26" s="10" t="s">
        <v>17</v>
      </c>
      <c r="F26" s="9">
        <v>10</v>
      </c>
      <c r="G26" s="10" t="s">
        <v>17</v>
      </c>
      <c r="H26" s="9">
        <v>1</v>
      </c>
      <c r="I26" s="10" t="s">
        <v>17</v>
      </c>
      <c r="J26" s="10"/>
      <c r="K26" s="10" t="s">
        <v>17</v>
      </c>
      <c r="L26" s="10" t="s">
        <v>31</v>
      </c>
      <c r="M26" s="10" t="s">
        <v>32</v>
      </c>
    </row>
    <row r="27" spans="1:13" s="1" customFormat="1" ht="12.75" x14ac:dyDescent="0.15">
      <c r="A27" s="13">
        <v>44105</v>
      </c>
      <c r="B27" s="14">
        <v>1841</v>
      </c>
      <c r="C27" s="20">
        <f>SUM(B27*B26)</f>
        <v>1841</v>
      </c>
      <c r="D27" s="14">
        <v>0</v>
      </c>
      <c r="E27" s="20">
        <v>0</v>
      </c>
      <c r="F27" s="14">
        <v>195</v>
      </c>
      <c r="G27" s="20">
        <f>F26*F27</f>
        <v>1950</v>
      </c>
      <c r="H27" s="14">
        <v>77362</v>
      </c>
      <c r="I27" s="20">
        <f>SUM(H27*H26)</f>
        <v>77362</v>
      </c>
      <c r="J27" s="14">
        <f>120+190</f>
        <v>310</v>
      </c>
      <c r="K27" s="20">
        <f>360+665+1197.63</f>
        <v>2222.63</v>
      </c>
      <c r="L27" s="21">
        <f t="shared" ref="L27:M38" si="1">B11+D11+F11+H11+J11+L11+B27+D27+F27+H27+J27</f>
        <v>149669</v>
      </c>
      <c r="M27" s="22">
        <f t="shared" si="1"/>
        <v>345729.38</v>
      </c>
    </row>
    <row r="28" spans="1:13" s="1" customFormat="1" ht="12.75" x14ac:dyDescent="0.15">
      <c r="A28" s="13">
        <v>44136</v>
      </c>
      <c r="B28" s="14">
        <v>1580</v>
      </c>
      <c r="C28" s="20">
        <f>SUM(B28*B26)</f>
        <v>1580</v>
      </c>
      <c r="D28" s="14">
        <v>0</v>
      </c>
      <c r="E28" s="20">
        <v>0</v>
      </c>
      <c r="F28" s="14">
        <v>204</v>
      </c>
      <c r="G28" s="20">
        <f>F26*F28</f>
        <v>2040</v>
      </c>
      <c r="H28" s="14">
        <v>79397</v>
      </c>
      <c r="I28" s="20">
        <f>SUM(H28*H26)</f>
        <v>79397</v>
      </c>
      <c r="J28" s="14">
        <v>324</v>
      </c>
      <c r="K28" s="20">
        <f>381+689.5+1262.74</f>
        <v>2333.2399999999998</v>
      </c>
      <c r="L28" s="21">
        <f t="shared" si="1"/>
        <v>153057</v>
      </c>
      <c r="M28" s="22">
        <f t="shared" si="1"/>
        <v>353670.24</v>
      </c>
    </row>
    <row r="29" spans="1:13" s="1" customFormat="1" ht="12.75" x14ac:dyDescent="0.15">
      <c r="A29" s="13">
        <v>44166</v>
      </c>
      <c r="B29" s="14">
        <v>1508</v>
      </c>
      <c r="C29" s="20">
        <f>SUM(B29*B26)</f>
        <v>1508</v>
      </c>
      <c r="D29" s="14">
        <v>0</v>
      </c>
      <c r="E29" s="20">
        <v>0</v>
      </c>
      <c r="F29" s="14">
        <v>248</v>
      </c>
      <c r="G29" s="20">
        <f>F26*F29</f>
        <v>2480</v>
      </c>
      <c r="H29" s="14">
        <v>86483</v>
      </c>
      <c r="I29" s="20">
        <f>SUM(H29*H26)</f>
        <v>86483</v>
      </c>
      <c r="J29" s="14">
        <v>550</v>
      </c>
      <c r="K29" s="20">
        <f>930+840+890.02</f>
        <v>2660.02</v>
      </c>
      <c r="L29" s="21">
        <f t="shared" si="1"/>
        <v>160398</v>
      </c>
      <c r="M29" s="22">
        <f t="shared" si="1"/>
        <v>361664.77</v>
      </c>
    </row>
    <row r="30" spans="1:13" s="1" customFormat="1" ht="12.75" x14ac:dyDescent="0.15">
      <c r="A30" s="13">
        <v>44197</v>
      </c>
      <c r="B30" s="14">
        <v>1494</v>
      </c>
      <c r="C30" s="20">
        <f>SUM(B30*B26)</f>
        <v>1494</v>
      </c>
      <c r="D30" s="14">
        <v>0</v>
      </c>
      <c r="E30" s="20">
        <v>0</v>
      </c>
      <c r="F30" s="14">
        <v>195</v>
      </c>
      <c r="G30" s="20">
        <f>F26*F30</f>
        <v>1950</v>
      </c>
      <c r="H30" s="14">
        <v>78747</v>
      </c>
      <c r="I30" s="20">
        <f>SUM(H30*H26)</f>
        <v>78747</v>
      </c>
      <c r="J30" s="14">
        <v>289</v>
      </c>
      <c r="K30" s="20">
        <v>2000.6</v>
      </c>
      <c r="L30" s="21">
        <f t="shared" si="1"/>
        <v>144135</v>
      </c>
      <c r="M30" s="22">
        <f t="shared" si="1"/>
        <v>321979.09999999998</v>
      </c>
    </row>
    <row r="31" spans="1:13" s="1" customFormat="1" ht="12.75" x14ac:dyDescent="0.15">
      <c r="A31" s="13">
        <v>44228</v>
      </c>
      <c r="B31" s="14">
        <v>1206</v>
      </c>
      <c r="C31" s="20">
        <f>SUM(B31*B26)</f>
        <v>1206</v>
      </c>
      <c r="D31" s="14">
        <v>0</v>
      </c>
      <c r="E31" s="20">
        <v>0</v>
      </c>
      <c r="F31" s="14">
        <v>162</v>
      </c>
      <c r="G31" s="20">
        <f>F26*F31</f>
        <v>1620</v>
      </c>
      <c r="H31" s="14">
        <v>66120</v>
      </c>
      <c r="I31" s="20">
        <f>SUM(H31*H26)</f>
        <v>66120</v>
      </c>
      <c r="J31" s="14">
        <v>272</v>
      </c>
      <c r="K31" s="20">
        <v>5969.18</v>
      </c>
      <c r="L31" s="21">
        <f t="shared" si="1"/>
        <v>127431</v>
      </c>
      <c r="M31" s="22">
        <f t="shared" si="1"/>
        <v>298681.43</v>
      </c>
    </row>
    <row r="32" spans="1:13" s="1" customFormat="1" ht="12.75" x14ac:dyDescent="0.15">
      <c r="A32" s="13">
        <v>44256</v>
      </c>
      <c r="B32" s="14">
        <v>1643</v>
      </c>
      <c r="C32" s="20">
        <f>SUM(B32*B26)</f>
        <v>1643</v>
      </c>
      <c r="D32" s="14">
        <v>0</v>
      </c>
      <c r="E32" s="20">
        <v>0</v>
      </c>
      <c r="F32" s="14">
        <v>236</v>
      </c>
      <c r="G32" s="20">
        <f>F26*F32</f>
        <v>2360</v>
      </c>
      <c r="H32" s="14">
        <v>91990</v>
      </c>
      <c r="I32" s="20">
        <f>SUM(H32*H26)</f>
        <v>91990</v>
      </c>
      <c r="J32" s="14">
        <v>402</v>
      </c>
      <c r="K32" s="20">
        <v>6775.03</v>
      </c>
      <c r="L32" s="21">
        <f t="shared" si="1"/>
        <v>170911</v>
      </c>
      <c r="M32" s="22">
        <f t="shared" si="1"/>
        <v>390168.03</v>
      </c>
    </row>
    <row r="33" spans="1:13" s="1" customFormat="1" ht="12.75" x14ac:dyDescent="0.15">
      <c r="A33" s="13">
        <v>44287</v>
      </c>
      <c r="B33" s="14">
        <v>1678</v>
      </c>
      <c r="C33" s="20">
        <f>SUM(B33*B26)</f>
        <v>1678</v>
      </c>
      <c r="D33" s="14">
        <v>0</v>
      </c>
      <c r="E33" s="20">
        <v>0</v>
      </c>
      <c r="F33" s="14">
        <v>255</v>
      </c>
      <c r="G33" s="20">
        <f>F26*F33</f>
        <v>2550</v>
      </c>
      <c r="H33" s="14">
        <v>94407</v>
      </c>
      <c r="I33" s="20">
        <f>SUM(H33*H26)</f>
        <v>94407</v>
      </c>
      <c r="J33" s="14">
        <f>148+253</f>
        <v>401</v>
      </c>
      <c r="K33" s="20">
        <f>444+885.5+6366.56</f>
        <v>7696.06</v>
      </c>
      <c r="L33" s="21">
        <f t="shared" si="1"/>
        <v>175793</v>
      </c>
      <c r="M33" s="22">
        <f t="shared" si="1"/>
        <v>402776.06</v>
      </c>
    </row>
    <row r="34" spans="1:13" s="1" customFormat="1" ht="12.75" x14ac:dyDescent="0.15">
      <c r="A34" s="13">
        <v>44317</v>
      </c>
      <c r="B34" s="14">
        <v>1671</v>
      </c>
      <c r="C34" s="20">
        <f>SUM(B34*B26)</f>
        <v>1671</v>
      </c>
      <c r="D34" s="14">
        <v>0</v>
      </c>
      <c r="E34" s="20">
        <v>0</v>
      </c>
      <c r="F34" s="14">
        <v>266</v>
      </c>
      <c r="G34" s="20">
        <f>F26*F34</f>
        <v>2660</v>
      </c>
      <c r="H34" s="14">
        <v>100662</v>
      </c>
      <c r="I34" s="20">
        <f>SUM(H34*H26)</f>
        <v>100662</v>
      </c>
      <c r="J34" s="14">
        <f>144+265</f>
        <v>409</v>
      </c>
      <c r="K34" s="20">
        <f>432+927.5+7421.84+72.12</f>
        <v>8853.4600000000009</v>
      </c>
      <c r="L34" s="21">
        <f t="shared" si="1"/>
        <v>191777</v>
      </c>
      <c r="M34" s="22">
        <f t="shared" si="1"/>
        <v>446730.21</v>
      </c>
    </row>
    <row r="35" spans="1:13" s="1" customFormat="1" ht="12.75" x14ac:dyDescent="0.15">
      <c r="A35" s="13">
        <v>44348</v>
      </c>
      <c r="B35" s="14">
        <v>1639</v>
      </c>
      <c r="C35" s="20">
        <f>SUM(B35*B26)</f>
        <v>1639</v>
      </c>
      <c r="D35" s="14">
        <v>0</v>
      </c>
      <c r="E35" s="20">
        <v>0</v>
      </c>
      <c r="F35" s="14">
        <v>251</v>
      </c>
      <c r="G35" s="20">
        <f>F26*F35</f>
        <v>2510</v>
      </c>
      <c r="H35" s="14">
        <v>74821</v>
      </c>
      <c r="I35" s="20">
        <f>SUM(H35*H26)</f>
        <v>74821</v>
      </c>
      <c r="J35" s="14">
        <f>202+250</f>
        <v>452</v>
      </c>
      <c r="K35" s="20">
        <f>606+875+6182.74+7.25</f>
        <v>7670.99</v>
      </c>
      <c r="L35" s="21">
        <f t="shared" si="1"/>
        <v>166671</v>
      </c>
      <c r="M35" s="22">
        <f t="shared" si="1"/>
        <v>422295.99</v>
      </c>
    </row>
    <row r="36" spans="1:13" s="1" customFormat="1" ht="12.75" x14ac:dyDescent="0.15">
      <c r="A36" s="13">
        <v>44378</v>
      </c>
      <c r="B36" s="14">
        <v>1363</v>
      </c>
      <c r="C36" s="20">
        <f>SUM(B36*B26)</f>
        <v>1363</v>
      </c>
      <c r="D36" s="14">
        <v>0</v>
      </c>
      <c r="E36" s="20">
        <v>0</v>
      </c>
      <c r="F36" s="14">
        <v>267</v>
      </c>
      <c r="G36" s="20">
        <f>F26*F36</f>
        <v>2670</v>
      </c>
      <c r="H36" s="14">
        <v>54835</v>
      </c>
      <c r="I36" s="20">
        <f>SUM(H36*H26)</f>
        <v>54835</v>
      </c>
      <c r="J36" s="14">
        <f>183+265</f>
        <v>448</v>
      </c>
      <c r="K36" s="20">
        <f>549+927.5+4732.43+141.92</f>
        <v>6350.85</v>
      </c>
      <c r="L36" s="21">
        <f t="shared" si="1"/>
        <v>148790</v>
      </c>
      <c r="M36" s="22">
        <f t="shared" si="1"/>
        <v>409757.6</v>
      </c>
    </row>
    <row r="37" spans="1:13" s="1" customFormat="1" ht="12.75" x14ac:dyDescent="0.15">
      <c r="A37" s="13">
        <v>44409</v>
      </c>
      <c r="B37" s="14">
        <v>1553</v>
      </c>
      <c r="C37" s="20">
        <f>SUM(B37*B26)</f>
        <v>1553</v>
      </c>
      <c r="D37" s="14">
        <v>0</v>
      </c>
      <c r="E37" s="20">
        <v>0</v>
      </c>
      <c r="F37" s="14">
        <v>269</v>
      </c>
      <c r="G37" s="20">
        <f>F26*F37</f>
        <v>2690</v>
      </c>
      <c r="H37" s="14">
        <v>66716</v>
      </c>
      <c r="I37" s="20">
        <f>SUM(H37*H26)</f>
        <v>66716</v>
      </c>
      <c r="J37" s="14">
        <f>177+268</f>
        <v>445</v>
      </c>
      <c r="K37" s="20">
        <f>531+938+4508.4</f>
        <v>5977.4</v>
      </c>
      <c r="L37" s="21">
        <f t="shared" si="1"/>
        <v>154193</v>
      </c>
      <c r="M37" s="22">
        <f t="shared" si="1"/>
        <v>396473.9</v>
      </c>
    </row>
    <row r="38" spans="1:13" s="1" customFormat="1" ht="12.75" x14ac:dyDescent="0.15">
      <c r="A38" s="13">
        <v>44440</v>
      </c>
      <c r="B38" s="14">
        <v>1510</v>
      </c>
      <c r="C38" s="20">
        <f>SUM(B38*B26)</f>
        <v>1510</v>
      </c>
      <c r="D38" s="14">
        <v>0</v>
      </c>
      <c r="E38" s="20">
        <v>0</v>
      </c>
      <c r="F38" s="14">
        <v>249</v>
      </c>
      <c r="G38" s="20">
        <f>F38*F26</f>
        <v>2490</v>
      </c>
      <c r="H38" s="14">
        <v>69731</v>
      </c>
      <c r="I38" s="20">
        <f>SUM(H38*H26)</f>
        <v>69731</v>
      </c>
      <c r="J38" s="14">
        <f>170+247</f>
        <v>417</v>
      </c>
      <c r="K38" s="20">
        <f>510+864.5+4956.4+10</f>
        <v>6340.9</v>
      </c>
      <c r="L38" s="21">
        <f t="shared" si="1"/>
        <v>160518</v>
      </c>
      <c r="M38" s="22">
        <f t="shared" si="1"/>
        <v>412363.15</v>
      </c>
    </row>
    <row r="39" spans="1:13" s="1" customFormat="1" ht="13.5" thickBot="1" x14ac:dyDescent="0.2">
      <c r="A39" s="16" t="s">
        <v>45</v>
      </c>
      <c r="B39" s="17">
        <f t="shared" ref="B39:M39" si="2">SUM(B27:B38)</f>
        <v>18686</v>
      </c>
      <c r="C39" s="23">
        <f t="shared" si="2"/>
        <v>18686</v>
      </c>
      <c r="D39" s="19">
        <f t="shared" si="2"/>
        <v>0</v>
      </c>
      <c r="E39" s="23">
        <f t="shared" si="2"/>
        <v>0</v>
      </c>
      <c r="F39" s="17">
        <f t="shared" si="2"/>
        <v>2797</v>
      </c>
      <c r="G39" s="23">
        <f t="shared" si="2"/>
        <v>27970</v>
      </c>
      <c r="H39" s="17">
        <f t="shared" si="2"/>
        <v>941271</v>
      </c>
      <c r="I39" s="23">
        <f t="shared" si="2"/>
        <v>941271</v>
      </c>
      <c r="J39" s="17">
        <f t="shared" si="2"/>
        <v>4719</v>
      </c>
      <c r="K39" s="23">
        <f t="shared" si="2"/>
        <v>64850.36</v>
      </c>
      <c r="L39" s="24">
        <f t="shared" si="2"/>
        <v>1903343</v>
      </c>
      <c r="M39" s="25">
        <f t="shared" si="2"/>
        <v>4562289.8600000003</v>
      </c>
    </row>
    <row r="40" spans="1:13" s="1" customFormat="1" x14ac:dyDescent="0.15"/>
    <row r="41" spans="1:13" s="1" customFormat="1" ht="15" customHeight="1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s="1" customFormat="1" x14ac:dyDescent="0.15">
      <c r="A42" s="26"/>
    </row>
    <row r="43" spans="1:13" s="1" customFormat="1" ht="15.75" x14ac:dyDescent="0.15">
      <c r="A43" s="3" t="s">
        <v>33</v>
      </c>
    </row>
    <row r="44" spans="1:13" s="1" customFormat="1" ht="17.25" customHeight="1" x14ac:dyDescent="0.15">
      <c r="A44" s="28" t="s">
        <v>34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s="1" customFormat="1" ht="17.25" customHeight="1" x14ac:dyDescent="0.15">
      <c r="A45" s="29" t="s">
        <v>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s="1" customFormat="1" ht="17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1" customFormat="1" ht="17.25" customHeight="1" x14ac:dyDescent="0.15"/>
    <row r="48" spans="1:13" s="1" customFormat="1" ht="17.25" customHeight="1" x14ac:dyDescent="0.15"/>
    <row r="49" spans="1:13" s="1" customFormat="1" ht="13.5" customHeight="1" x14ac:dyDescent="0.15">
      <c r="A49" s="3" t="s">
        <v>44</v>
      </c>
      <c r="B49" s="4"/>
      <c r="C49" s="4"/>
      <c r="D49" s="4"/>
      <c r="E49" s="3"/>
      <c r="F49" s="4"/>
      <c r="G49" s="4"/>
      <c r="H49" s="4"/>
      <c r="I49" s="4"/>
      <c r="L49" s="4"/>
      <c r="M49" s="4"/>
    </row>
    <row r="50" spans="1:13" s="1" customFormat="1" ht="13.5" thickBo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1" customFormat="1" ht="12.75" x14ac:dyDescent="0.15">
      <c r="A51" s="5" t="s">
        <v>3</v>
      </c>
      <c r="B51" s="6" t="s">
        <v>4</v>
      </c>
      <c r="C51" s="6" t="s">
        <v>5</v>
      </c>
      <c r="D51" s="6" t="s">
        <v>6</v>
      </c>
      <c r="E51" s="6" t="s">
        <v>7</v>
      </c>
      <c r="F51" s="6" t="s">
        <v>8</v>
      </c>
      <c r="G51" s="7" t="s">
        <v>9</v>
      </c>
      <c r="H51" s="6" t="s">
        <v>10</v>
      </c>
      <c r="I51" s="7" t="s">
        <v>11</v>
      </c>
      <c r="J51" s="6" t="s">
        <v>12</v>
      </c>
      <c r="K51" s="7" t="s">
        <v>13</v>
      </c>
      <c r="L51" s="5" t="s">
        <v>14</v>
      </c>
      <c r="M51" s="6" t="s">
        <v>15</v>
      </c>
    </row>
    <row r="52" spans="1:13" s="1" customFormat="1" ht="13.5" thickBot="1" x14ac:dyDescent="0.2">
      <c r="A52" s="8" t="s">
        <v>16</v>
      </c>
      <c r="B52" s="9">
        <v>3.75</v>
      </c>
      <c r="C52" s="10" t="s">
        <v>17</v>
      </c>
      <c r="D52" s="9" t="s">
        <v>38</v>
      </c>
      <c r="E52" s="10" t="s">
        <v>17</v>
      </c>
      <c r="F52" s="9" t="s">
        <v>39</v>
      </c>
      <c r="G52" s="11" t="s">
        <v>17</v>
      </c>
      <c r="H52" s="27" t="s">
        <v>40</v>
      </c>
      <c r="I52" s="11" t="s">
        <v>17</v>
      </c>
      <c r="J52" s="9" t="s">
        <v>41</v>
      </c>
      <c r="K52" s="11" t="s">
        <v>17</v>
      </c>
      <c r="L52" s="12" t="s">
        <v>42</v>
      </c>
      <c r="M52" s="10" t="s">
        <v>17</v>
      </c>
    </row>
    <row r="53" spans="1:13" s="1" customFormat="1" ht="12.75" x14ac:dyDescent="0.15">
      <c r="A53" s="13">
        <v>44105</v>
      </c>
      <c r="B53" s="14">
        <v>19078</v>
      </c>
      <c r="C53" s="15">
        <f>SUM(B53*B52)</f>
        <v>71542.5</v>
      </c>
      <c r="D53" s="14">
        <v>109</v>
      </c>
      <c r="E53" s="15">
        <v>1094</v>
      </c>
      <c r="F53" s="14">
        <v>1238</v>
      </c>
      <c r="G53" s="15">
        <v>18411</v>
      </c>
      <c r="H53" s="14">
        <v>8</v>
      </c>
      <c r="I53" s="15">
        <v>124</v>
      </c>
      <c r="J53" s="14">
        <v>730</v>
      </c>
      <c r="K53" s="15">
        <v>15001.25</v>
      </c>
      <c r="L53" s="14">
        <v>72</v>
      </c>
      <c r="M53" s="15">
        <v>1714.25</v>
      </c>
    </row>
    <row r="54" spans="1:13" s="1" customFormat="1" ht="12.75" x14ac:dyDescent="0.15">
      <c r="A54" s="13">
        <v>44136</v>
      </c>
      <c r="B54" s="14">
        <v>20025</v>
      </c>
      <c r="C54" s="15">
        <f>SUM(B54*B52)</f>
        <v>75093.75</v>
      </c>
      <c r="D54" s="14">
        <v>104</v>
      </c>
      <c r="E54" s="15">
        <v>1052.5</v>
      </c>
      <c r="F54" s="14">
        <v>659</v>
      </c>
      <c r="G54" s="15">
        <v>9756</v>
      </c>
      <c r="H54" s="14">
        <v>4</v>
      </c>
      <c r="I54" s="15">
        <v>67.25</v>
      </c>
      <c r="J54" s="14">
        <v>542</v>
      </c>
      <c r="K54" s="15">
        <v>10972.5</v>
      </c>
      <c r="L54" s="14">
        <v>143</v>
      </c>
      <c r="M54" s="15">
        <v>3359.75</v>
      </c>
    </row>
    <row r="55" spans="1:13" s="1" customFormat="1" ht="12.75" x14ac:dyDescent="0.15">
      <c r="A55" s="13">
        <v>44166</v>
      </c>
      <c r="B55" s="14">
        <v>24378</v>
      </c>
      <c r="C55" s="15">
        <f>SUM(B55*B52)</f>
        <v>91417.5</v>
      </c>
      <c r="D55" s="14">
        <v>93</v>
      </c>
      <c r="E55" s="15">
        <v>945</v>
      </c>
      <c r="F55" s="14">
        <v>818</v>
      </c>
      <c r="G55" s="15">
        <v>12132</v>
      </c>
      <c r="H55" s="14">
        <v>8</v>
      </c>
      <c r="I55" s="15">
        <v>136.25</v>
      </c>
      <c r="J55" s="14">
        <v>499</v>
      </c>
      <c r="K55" s="15">
        <v>10188.75</v>
      </c>
      <c r="L55" s="14">
        <v>135</v>
      </c>
      <c r="M55" s="15">
        <v>3149.25</v>
      </c>
    </row>
    <row r="56" spans="1:13" s="1" customFormat="1" ht="12.75" x14ac:dyDescent="0.15">
      <c r="A56" s="13">
        <v>44197</v>
      </c>
      <c r="B56" s="14">
        <v>21931</v>
      </c>
      <c r="C56" s="15">
        <f>SUM(B56*B52)</f>
        <v>82241.25</v>
      </c>
      <c r="D56" s="14">
        <v>88</v>
      </c>
      <c r="E56" s="15">
        <v>887</v>
      </c>
      <c r="F56" s="14">
        <v>784</v>
      </c>
      <c r="G56" s="15">
        <v>11638.5</v>
      </c>
      <c r="H56" s="14">
        <v>2</v>
      </c>
      <c r="I56" s="15">
        <v>34.5</v>
      </c>
      <c r="J56" s="14">
        <v>714</v>
      </c>
      <c r="K56" s="15">
        <v>14869.25</v>
      </c>
      <c r="L56" s="14">
        <v>81</v>
      </c>
      <c r="M56" s="15">
        <v>1892</v>
      </c>
    </row>
    <row r="57" spans="1:13" s="1" customFormat="1" ht="12.75" x14ac:dyDescent="0.15">
      <c r="A57" s="13">
        <v>44228</v>
      </c>
      <c r="B57" s="14">
        <v>18087</v>
      </c>
      <c r="C57" s="15">
        <f>SUM(B57*B52)</f>
        <v>67826.25</v>
      </c>
      <c r="D57" s="14">
        <v>65</v>
      </c>
      <c r="E57" s="15">
        <v>668.5</v>
      </c>
      <c r="F57" s="14">
        <v>560</v>
      </c>
      <c r="G57" s="15">
        <v>8313</v>
      </c>
      <c r="H57" s="14">
        <v>1</v>
      </c>
      <c r="I57" s="15">
        <v>15.5</v>
      </c>
      <c r="J57" s="14">
        <v>471</v>
      </c>
      <c r="K57" s="15">
        <v>9652.5</v>
      </c>
      <c r="L57" s="14">
        <v>94</v>
      </c>
      <c r="M57" s="15">
        <v>2194.25</v>
      </c>
    </row>
    <row r="58" spans="1:13" s="1" customFormat="1" ht="12.75" x14ac:dyDescent="0.15">
      <c r="A58" s="13">
        <v>44256</v>
      </c>
      <c r="B58" s="14">
        <v>23354</v>
      </c>
      <c r="C58" s="15">
        <f>SUM(B58*B52)</f>
        <v>87577.5</v>
      </c>
      <c r="D58" s="14">
        <v>84</v>
      </c>
      <c r="E58" s="15">
        <v>853.5</v>
      </c>
      <c r="F58" s="14">
        <v>888</v>
      </c>
      <c r="G58" s="15">
        <v>13261.5</v>
      </c>
      <c r="H58" s="14">
        <v>6</v>
      </c>
      <c r="I58" s="15">
        <v>100</v>
      </c>
      <c r="J58" s="14">
        <v>720</v>
      </c>
      <c r="K58" s="15">
        <v>14745.5</v>
      </c>
      <c r="L58" s="14">
        <v>106</v>
      </c>
      <c r="M58" s="15">
        <v>2475</v>
      </c>
    </row>
    <row r="59" spans="1:13" s="1" customFormat="1" ht="12.75" x14ac:dyDescent="0.15">
      <c r="A59" s="13">
        <v>44287</v>
      </c>
      <c r="B59" s="14">
        <v>21515</v>
      </c>
      <c r="C59" s="15">
        <f>SUM(B59*B52)</f>
        <v>80681.25</v>
      </c>
      <c r="D59" s="14">
        <v>83</v>
      </c>
      <c r="E59" s="15">
        <v>851.5</v>
      </c>
      <c r="F59" s="14">
        <v>977</v>
      </c>
      <c r="G59" s="15">
        <v>14602.5</v>
      </c>
      <c r="H59" s="14">
        <v>3</v>
      </c>
      <c r="I59" s="15">
        <v>50</v>
      </c>
      <c r="J59" s="14">
        <v>675</v>
      </c>
      <c r="K59" s="15">
        <v>13752.75</v>
      </c>
      <c r="L59" s="14">
        <v>45</v>
      </c>
      <c r="M59" s="15">
        <v>1063.75</v>
      </c>
    </row>
    <row r="60" spans="1:13" s="1" customFormat="1" ht="12.75" x14ac:dyDescent="0.15">
      <c r="A60" s="13">
        <v>44317</v>
      </c>
      <c r="B60" s="14">
        <v>22148</v>
      </c>
      <c r="C60" s="15">
        <f>SUM(B60*B52)</f>
        <v>83055</v>
      </c>
      <c r="D60" s="14">
        <v>66</v>
      </c>
      <c r="E60" s="15">
        <v>669</v>
      </c>
      <c r="F60" s="14">
        <v>397</v>
      </c>
      <c r="G60" s="15">
        <v>5881.5</v>
      </c>
      <c r="H60" s="14">
        <v>5</v>
      </c>
      <c r="I60" s="15">
        <v>81</v>
      </c>
      <c r="J60" s="14">
        <v>656</v>
      </c>
      <c r="K60" s="15">
        <v>13370.5</v>
      </c>
      <c r="L60" s="14">
        <v>43</v>
      </c>
      <c r="M60" s="15">
        <v>1031.25</v>
      </c>
    </row>
    <row r="61" spans="1:13" s="1" customFormat="1" ht="12.75" x14ac:dyDescent="0.15">
      <c r="A61" s="13">
        <v>44348</v>
      </c>
      <c r="B61" s="14">
        <v>20102</v>
      </c>
      <c r="C61" s="15">
        <f>SUM(B61*B52)</f>
        <v>75382.5</v>
      </c>
      <c r="D61" s="14">
        <v>87</v>
      </c>
      <c r="E61" s="15">
        <v>883.5</v>
      </c>
      <c r="F61" s="14">
        <v>438</v>
      </c>
      <c r="G61" s="15">
        <v>6484.5</v>
      </c>
      <c r="H61" s="14">
        <v>3</v>
      </c>
      <c r="I61" s="15">
        <v>50</v>
      </c>
      <c r="J61" s="14">
        <v>965</v>
      </c>
      <c r="K61" s="15">
        <v>20253.75</v>
      </c>
      <c r="L61" s="14">
        <v>47</v>
      </c>
      <c r="M61" s="15">
        <v>1126</v>
      </c>
    </row>
    <row r="62" spans="1:13" s="1" customFormat="1" ht="12.75" x14ac:dyDescent="0.15">
      <c r="A62" s="13">
        <v>44378</v>
      </c>
      <c r="B62" s="14">
        <v>20891</v>
      </c>
      <c r="C62" s="15">
        <f>SUM(B62*B52)</f>
        <v>78341.25</v>
      </c>
      <c r="D62" s="14">
        <v>75</v>
      </c>
      <c r="E62" s="15">
        <v>760.5</v>
      </c>
      <c r="F62" s="14">
        <v>378</v>
      </c>
      <c r="G62" s="15">
        <v>5532</v>
      </c>
      <c r="H62" s="14">
        <v>9</v>
      </c>
      <c r="I62" s="15">
        <v>144.75</v>
      </c>
      <c r="J62" s="14">
        <v>1125</v>
      </c>
      <c r="K62" s="15">
        <v>23529</v>
      </c>
      <c r="L62" s="14">
        <v>56</v>
      </c>
      <c r="M62" s="15">
        <v>1314.25</v>
      </c>
    </row>
    <row r="63" spans="1:13" s="1" customFormat="1" ht="12.75" x14ac:dyDescent="0.15">
      <c r="A63" s="13">
        <v>44409</v>
      </c>
      <c r="B63" s="14">
        <v>18932</v>
      </c>
      <c r="C63" s="15">
        <f>SUM(B63*B52)</f>
        <v>70995</v>
      </c>
      <c r="D63" s="14">
        <v>101</v>
      </c>
      <c r="E63" s="15">
        <v>1019.5</v>
      </c>
      <c r="F63" s="14">
        <v>271</v>
      </c>
      <c r="G63" s="15">
        <v>3975</v>
      </c>
      <c r="H63" s="14">
        <v>9</v>
      </c>
      <c r="I63" s="15">
        <v>146.5</v>
      </c>
      <c r="J63" s="14">
        <v>946</v>
      </c>
      <c r="K63" s="15">
        <v>19596.5</v>
      </c>
      <c r="L63" s="14">
        <v>35</v>
      </c>
      <c r="M63" s="15">
        <v>822.5</v>
      </c>
    </row>
    <row r="64" spans="1:13" s="1" customFormat="1" ht="12.75" x14ac:dyDescent="0.15">
      <c r="A64" s="13">
        <v>44440</v>
      </c>
      <c r="B64" s="14">
        <v>18955</v>
      </c>
      <c r="C64" s="15">
        <f>B64*B52</f>
        <v>71081.25</v>
      </c>
      <c r="D64" s="14">
        <v>90</v>
      </c>
      <c r="E64" s="15">
        <v>901.5</v>
      </c>
      <c r="F64" s="14">
        <v>287</v>
      </c>
      <c r="G64" s="15">
        <v>4240.5</v>
      </c>
      <c r="H64" s="14">
        <v>9</v>
      </c>
      <c r="I64" s="15">
        <v>148.25</v>
      </c>
      <c r="J64" s="14">
        <v>791</v>
      </c>
      <c r="K64" s="15">
        <v>16258</v>
      </c>
      <c r="L64" s="14">
        <v>29</v>
      </c>
      <c r="M64" s="15">
        <v>676</v>
      </c>
    </row>
    <row r="65" spans="1:13" s="1" customFormat="1" ht="13.5" thickBot="1" x14ac:dyDescent="0.2">
      <c r="A65" s="16" t="s">
        <v>45</v>
      </c>
      <c r="B65" s="17">
        <f t="shared" ref="B65:M65" si="3">SUM(B53:B64)</f>
        <v>249396</v>
      </c>
      <c r="C65" s="18">
        <f t="shared" si="3"/>
        <v>935235</v>
      </c>
      <c r="D65" s="17">
        <f t="shared" si="3"/>
        <v>1045</v>
      </c>
      <c r="E65" s="18">
        <f>SUM(E53:E64)</f>
        <v>10586</v>
      </c>
      <c r="F65" s="17">
        <f t="shared" si="3"/>
        <v>7695</v>
      </c>
      <c r="G65" s="18">
        <f t="shared" si="3"/>
        <v>114228</v>
      </c>
      <c r="H65" s="19">
        <f t="shared" si="3"/>
        <v>67</v>
      </c>
      <c r="I65" s="18">
        <f t="shared" si="3"/>
        <v>1098</v>
      </c>
      <c r="J65" s="17">
        <f t="shared" si="3"/>
        <v>8834</v>
      </c>
      <c r="K65" s="18">
        <f t="shared" si="3"/>
        <v>182190.25</v>
      </c>
      <c r="L65" s="19">
        <f t="shared" si="3"/>
        <v>886</v>
      </c>
      <c r="M65" s="18">
        <f t="shared" si="3"/>
        <v>20818.25</v>
      </c>
    </row>
    <row r="66" spans="1:13" s="1" customFormat="1" ht="12.75" thickBot="1" x14ac:dyDescent="0.2"/>
    <row r="67" spans="1:13" s="1" customFormat="1" ht="12.75" x14ac:dyDescent="0.15">
      <c r="A67" s="5" t="s">
        <v>3</v>
      </c>
      <c r="B67" s="6" t="s">
        <v>19</v>
      </c>
      <c r="C67" s="6" t="s">
        <v>20</v>
      </c>
      <c r="D67" s="6" t="s">
        <v>21</v>
      </c>
      <c r="E67" s="6" t="s">
        <v>22</v>
      </c>
      <c r="F67" s="6" t="s">
        <v>23</v>
      </c>
      <c r="G67" s="6" t="s">
        <v>24</v>
      </c>
      <c r="H67" s="6" t="s">
        <v>25</v>
      </c>
      <c r="I67" s="6" t="s">
        <v>26</v>
      </c>
      <c r="J67" s="6" t="s">
        <v>27</v>
      </c>
      <c r="K67" s="6" t="s">
        <v>28</v>
      </c>
      <c r="L67" s="6" t="s">
        <v>29</v>
      </c>
      <c r="M67" s="6" t="s">
        <v>29</v>
      </c>
    </row>
    <row r="68" spans="1:13" s="1" customFormat="1" ht="13.5" thickBot="1" x14ac:dyDescent="0.2">
      <c r="A68" s="8" t="s">
        <v>16</v>
      </c>
      <c r="B68" s="9">
        <v>1</v>
      </c>
      <c r="C68" s="10" t="s">
        <v>17</v>
      </c>
      <c r="D68" s="9" t="s">
        <v>30</v>
      </c>
      <c r="E68" s="10" t="s">
        <v>17</v>
      </c>
      <c r="F68" s="9">
        <v>10</v>
      </c>
      <c r="G68" s="10" t="s">
        <v>17</v>
      </c>
      <c r="H68" s="9">
        <v>1</v>
      </c>
      <c r="I68" s="10" t="s">
        <v>17</v>
      </c>
      <c r="J68" s="10"/>
      <c r="K68" s="10" t="s">
        <v>17</v>
      </c>
      <c r="L68" s="10" t="s">
        <v>31</v>
      </c>
      <c r="M68" s="10" t="s">
        <v>32</v>
      </c>
    </row>
    <row r="69" spans="1:13" s="1" customFormat="1" ht="12.75" x14ac:dyDescent="0.15">
      <c r="A69" s="13">
        <v>44105</v>
      </c>
      <c r="B69" s="14">
        <v>6</v>
      </c>
      <c r="C69" s="20">
        <f>SUM(B69*B68)</f>
        <v>6</v>
      </c>
      <c r="D69" s="14">
        <f>3706+1168</f>
        <v>4874</v>
      </c>
      <c r="E69" s="20">
        <f>28721.5+13140</f>
        <v>41861.5</v>
      </c>
      <c r="F69" s="14">
        <v>0</v>
      </c>
      <c r="G69" s="20">
        <f>F69*F68</f>
        <v>0</v>
      </c>
      <c r="H69" s="14">
        <v>119</v>
      </c>
      <c r="I69" s="20">
        <f>SUM(H69*H68)</f>
        <v>119</v>
      </c>
      <c r="J69" s="14">
        <f>13+199+1891</f>
        <v>2103</v>
      </c>
      <c r="K69" s="20">
        <f>677.25+597+6618.5+141.15</f>
        <v>8033.9</v>
      </c>
      <c r="L69" s="21">
        <f>B53+D53+F53+H53+J53+L53+B69+D69+F69+H69+J69</f>
        <v>28337</v>
      </c>
      <c r="M69" s="22">
        <f t="shared" ref="L69:M80" si="4">C53+E53+G53+I53+K53+M53+C69+E69+G69+I69+K69</f>
        <v>157907.4</v>
      </c>
    </row>
    <row r="70" spans="1:13" s="1" customFormat="1" ht="12.75" x14ac:dyDescent="0.15">
      <c r="A70" s="13">
        <v>44136</v>
      </c>
      <c r="B70" s="14">
        <v>7</v>
      </c>
      <c r="C70" s="20">
        <f>SUM(B70*B68)</f>
        <v>7</v>
      </c>
      <c r="D70" s="14">
        <f>4544+1271</f>
        <v>5815</v>
      </c>
      <c r="E70" s="20">
        <f>35216+14298.75</f>
        <v>49514.75</v>
      </c>
      <c r="F70" s="14">
        <v>0</v>
      </c>
      <c r="G70" s="20">
        <f>F70*F68</f>
        <v>0</v>
      </c>
      <c r="H70" s="14">
        <v>123</v>
      </c>
      <c r="I70" s="20">
        <f>SUM(H70*H68)</f>
        <v>123</v>
      </c>
      <c r="J70" s="14">
        <f>19+239+2034</f>
        <v>2292</v>
      </c>
      <c r="K70" s="20">
        <f>1520.5+717+7119+126.82</f>
        <v>9483.32</v>
      </c>
      <c r="L70" s="21">
        <f t="shared" si="4"/>
        <v>29714</v>
      </c>
      <c r="M70" s="22">
        <f t="shared" si="4"/>
        <v>159429.82</v>
      </c>
    </row>
    <row r="71" spans="1:13" s="1" customFormat="1" ht="12.75" x14ac:dyDescent="0.15">
      <c r="A71" s="13">
        <v>44166</v>
      </c>
      <c r="B71" s="14">
        <v>7</v>
      </c>
      <c r="C71" s="20">
        <f>SUM(B71*B68)</f>
        <v>7</v>
      </c>
      <c r="D71" s="14">
        <f>4080+1686</f>
        <v>5766</v>
      </c>
      <c r="E71" s="20">
        <f>31620+18967.5</f>
        <v>50587.5</v>
      </c>
      <c r="F71" s="14">
        <v>0</v>
      </c>
      <c r="G71" s="20">
        <f>F71*F68</f>
        <v>0</v>
      </c>
      <c r="H71" s="14">
        <v>169</v>
      </c>
      <c r="I71" s="20">
        <f>SUM(H71*H68)</f>
        <v>169</v>
      </c>
      <c r="J71" s="14">
        <f>2776+36</f>
        <v>2812</v>
      </c>
      <c r="K71" s="20">
        <f>774+8813+187.76+1500+2686.5</f>
        <v>13961.26</v>
      </c>
      <c r="L71" s="21">
        <f t="shared" si="4"/>
        <v>34685</v>
      </c>
      <c r="M71" s="22">
        <f t="shared" si="4"/>
        <v>182693.51</v>
      </c>
    </row>
    <row r="72" spans="1:13" s="1" customFormat="1" ht="12.75" x14ac:dyDescent="0.15">
      <c r="A72" s="13">
        <v>44197</v>
      </c>
      <c r="B72" s="14">
        <v>2</v>
      </c>
      <c r="C72" s="20">
        <f>SUM(B72*B68)</f>
        <v>2</v>
      </c>
      <c r="D72" s="14">
        <f>2837+471</f>
        <v>3308</v>
      </c>
      <c r="E72" s="20">
        <f>21986.75+5298.75</f>
        <v>27285.5</v>
      </c>
      <c r="F72" s="14">
        <v>0</v>
      </c>
      <c r="G72" s="20">
        <f>F72*F68</f>
        <v>0</v>
      </c>
      <c r="H72" s="14">
        <v>132</v>
      </c>
      <c r="I72" s="20">
        <f>SUM(H72*H68)</f>
        <v>132</v>
      </c>
      <c r="J72" s="14">
        <f>10+248+756</f>
        <v>1014</v>
      </c>
      <c r="K72" s="20">
        <f>723.75+2646+744+150.64</f>
        <v>4264.3900000000003</v>
      </c>
      <c r="L72" s="21">
        <f t="shared" si="4"/>
        <v>28056</v>
      </c>
      <c r="M72" s="22">
        <f t="shared" si="4"/>
        <v>143246.39000000001</v>
      </c>
    </row>
    <row r="73" spans="1:13" s="1" customFormat="1" ht="12.75" x14ac:dyDescent="0.15">
      <c r="A73" s="13">
        <v>44228</v>
      </c>
      <c r="B73" s="14">
        <v>1</v>
      </c>
      <c r="C73" s="20">
        <f>SUM(B73*B68)</f>
        <v>1</v>
      </c>
      <c r="D73" s="14">
        <v>4157</v>
      </c>
      <c r="E73" s="20">
        <v>35296.75</v>
      </c>
      <c r="F73" s="14">
        <v>1</v>
      </c>
      <c r="G73" s="20">
        <f>F73*F68</f>
        <v>10</v>
      </c>
      <c r="H73" s="14">
        <v>87</v>
      </c>
      <c r="I73" s="20">
        <f>SUM(H73*H68)</f>
        <v>87</v>
      </c>
      <c r="J73" s="14">
        <v>1621</v>
      </c>
      <c r="K73" s="20">
        <v>6751.64</v>
      </c>
      <c r="L73" s="21">
        <f t="shared" si="4"/>
        <v>25145</v>
      </c>
      <c r="M73" s="22">
        <f t="shared" si="4"/>
        <v>130816.39</v>
      </c>
    </row>
    <row r="74" spans="1:13" s="1" customFormat="1" ht="12.75" x14ac:dyDescent="0.15">
      <c r="A74" s="13">
        <v>44256</v>
      </c>
      <c r="B74" s="14">
        <v>3</v>
      </c>
      <c r="C74" s="20">
        <f>SUM(B74*B68)</f>
        <v>3</v>
      </c>
      <c r="D74" s="14">
        <v>5650</v>
      </c>
      <c r="E74" s="20">
        <v>47994.5</v>
      </c>
      <c r="F74" s="14">
        <v>0</v>
      </c>
      <c r="G74" s="20">
        <f>F74*F68</f>
        <v>0</v>
      </c>
      <c r="H74" s="14">
        <v>133</v>
      </c>
      <c r="I74" s="20">
        <f>SUM(H74*H68)</f>
        <v>133</v>
      </c>
      <c r="J74" s="14">
        <v>1964</v>
      </c>
      <c r="K74" s="20">
        <v>8007.7</v>
      </c>
      <c r="L74" s="21">
        <f t="shared" si="4"/>
        <v>32908</v>
      </c>
      <c r="M74" s="22">
        <f t="shared" si="4"/>
        <v>175151.2</v>
      </c>
    </row>
    <row r="75" spans="1:13" s="1" customFormat="1" ht="12.75" x14ac:dyDescent="0.15">
      <c r="A75" s="13">
        <v>44287</v>
      </c>
      <c r="B75" s="14">
        <v>0</v>
      </c>
      <c r="C75" s="20">
        <f>SUM(B75*B68)</f>
        <v>0</v>
      </c>
      <c r="D75" s="14">
        <f>3614+1261</f>
        <v>4875</v>
      </c>
      <c r="E75" s="20">
        <f>28008.5+14186.25</f>
        <v>42194.75</v>
      </c>
      <c r="F75" s="14">
        <v>0</v>
      </c>
      <c r="G75" s="20">
        <f>F75*F68</f>
        <v>0</v>
      </c>
      <c r="H75" s="14">
        <v>115</v>
      </c>
      <c r="I75" s="20">
        <f>SUM(H75*H68)</f>
        <v>115</v>
      </c>
      <c r="J75" s="14">
        <f>13+114+2160</f>
        <v>2287</v>
      </c>
      <c r="K75" s="20">
        <f>342+7560+581.42+2.69+1042</f>
        <v>9528.11</v>
      </c>
      <c r="L75" s="21">
        <f t="shared" si="4"/>
        <v>30575</v>
      </c>
      <c r="M75" s="22">
        <f t="shared" si="4"/>
        <v>162839.60999999999</v>
      </c>
    </row>
    <row r="76" spans="1:13" s="1" customFormat="1" ht="12.75" x14ac:dyDescent="0.15">
      <c r="A76" s="13">
        <v>44317</v>
      </c>
      <c r="B76" s="14">
        <v>4</v>
      </c>
      <c r="C76" s="20">
        <f>SUM(B76*B68)</f>
        <v>4</v>
      </c>
      <c r="D76" s="14">
        <f>3904+1134</f>
        <v>5038</v>
      </c>
      <c r="E76" s="20">
        <f>30256+12757.5</f>
        <v>43013.5</v>
      </c>
      <c r="F76" s="14">
        <v>1</v>
      </c>
      <c r="G76" s="20">
        <f>F76*F68</f>
        <v>10</v>
      </c>
      <c r="H76" s="14">
        <v>122</v>
      </c>
      <c r="I76" s="20">
        <f>SUM(H76*H68)</f>
        <v>122</v>
      </c>
      <c r="J76" s="14">
        <f>15+144+1904</f>
        <v>2063</v>
      </c>
      <c r="K76" s="20">
        <f>432+6664+1187+696.75</f>
        <v>8979.75</v>
      </c>
      <c r="L76" s="21">
        <f t="shared" si="4"/>
        <v>30543</v>
      </c>
      <c r="M76" s="22">
        <f t="shared" si="4"/>
        <v>156217.5</v>
      </c>
    </row>
    <row r="77" spans="1:13" s="1" customFormat="1" ht="12.75" x14ac:dyDescent="0.15">
      <c r="A77" s="13">
        <v>44348</v>
      </c>
      <c r="B77" s="14">
        <v>3</v>
      </c>
      <c r="C77" s="20">
        <f>SUM(B77*B68)</f>
        <v>3</v>
      </c>
      <c r="D77" s="14">
        <f>4223+1379</f>
        <v>5602</v>
      </c>
      <c r="E77" s="20">
        <f>32728.25+15513.75</f>
        <v>48242</v>
      </c>
      <c r="F77" s="14">
        <v>0</v>
      </c>
      <c r="G77" s="20">
        <f>F77*F68</f>
        <v>0</v>
      </c>
      <c r="H77" s="14">
        <v>97</v>
      </c>
      <c r="I77" s="20">
        <f>SUM(H77*H68)</f>
        <v>97</v>
      </c>
      <c r="J77" s="14">
        <f>37+118+2191</f>
        <v>2346</v>
      </c>
      <c r="K77" s="20">
        <f>2346+354+7668.5+695.09</f>
        <v>11063.59</v>
      </c>
      <c r="L77" s="21">
        <f t="shared" si="4"/>
        <v>29690</v>
      </c>
      <c r="M77" s="22">
        <f t="shared" si="4"/>
        <v>163585.84</v>
      </c>
    </row>
    <row r="78" spans="1:13" s="1" customFormat="1" ht="12.75" x14ac:dyDescent="0.15">
      <c r="A78" s="13">
        <v>44378</v>
      </c>
      <c r="B78" s="14">
        <v>2</v>
      </c>
      <c r="C78" s="20">
        <f>SUM(B78*B68)</f>
        <v>2</v>
      </c>
      <c r="D78" s="14">
        <f>4012+1170</f>
        <v>5182</v>
      </c>
      <c r="E78" s="20">
        <f>31093+13162.5</f>
        <v>44255.5</v>
      </c>
      <c r="F78" s="14">
        <v>0</v>
      </c>
      <c r="G78" s="20">
        <f>F78*F68</f>
        <v>0</v>
      </c>
      <c r="H78" s="14">
        <v>70</v>
      </c>
      <c r="I78" s="20">
        <f>SUM(H78*H68)</f>
        <v>70</v>
      </c>
      <c r="J78" s="14">
        <f>21+207+2027</f>
        <v>2255</v>
      </c>
      <c r="K78" s="20">
        <f>1162+621+7094.5+675.61</f>
        <v>9553.11</v>
      </c>
      <c r="L78" s="21">
        <f t="shared" si="4"/>
        <v>30043</v>
      </c>
      <c r="M78" s="22">
        <f t="shared" si="4"/>
        <v>163502.35999999999</v>
      </c>
    </row>
    <row r="79" spans="1:13" s="1" customFormat="1" ht="12.75" x14ac:dyDescent="0.15">
      <c r="A79" s="13">
        <v>44409</v>
      </c>
      <c r="B79" s="14">
        <v>5</v>
      </c>
      <c r="C79" s="20">
        <f>SUM(B79*B68)</f>
        <v>5</v>
      </c>
      <c r="D79" s="14">
        <f>3755+1235</f>
        <v>4990</v>
      </c>
      <c r="E79" s="20">
        <f>29101.25+13893.75</f>
        <v>42995</v>
      </c>
      <c r="F79" s="14">
        <v>2</v>
      </c>
      <c r="G79" s="20">
        <f>F79*F68</f>
        <v>20</v>
      </c>
      <c r="H79" s="14">
        <v>87</v>
      </c>
      <c r="I79" s="20">
        <f>SUM(H79*H68)</f>
        <v>87</v>
      </c>
      <c r="J79" s="14">
        <f>14+163+1944</f>
        <v>2121</v>
      </c>
      <c r="K79" s="20">
        <f>707.5+489+6804+685.29</f>
        <v>8685.7900000000009</v>
      </c>
      <c r="L79" s="21">
        <f t="shared" si="4"/>
        <v>27499</v>
      </c>
      <c r="M79" s="22">
        <f t="shared" si="4"/>
        <v>148347.79</v>
      </c>
    </row>
    <row r="80" spans="1:13" s="1" customFormat="1" ht="12.75" x14ac:dyDescent="0.15">
      <c r="A80" s="13">
        <v>44440</v>
      </c>
      <c r="B80" s="14">
        <v>5</v>
      </c>
      <c r="C80" s="20">
        <f>B80*B68</f>
        <v>5</v>
      </c>
      <c r="D80" s="14">
        <f>3765+1158</f>
        <v>4923</v>
      </c>
      <c r="E80" s="20">
        <f>29178.75+13027.5</f>
        <v>42206.25</v>
      </c>
      <c r="F80" s="14">
        <v>0</v>
      </c>
      <c r="G80" s="20">
        <f>F80*F68</f>
        <v>0</v>
      </c>
      <c r="H80" s="14">
        <v>85</v>
      </c>
      <c r="I80" s="20">
        <f>SUM(H80*H68)</f>
        <v>85</v>
      </c>
      <c r="J80" s="14">
        <f>17+134+1882</f>
        <v>2033</v>
      </c>
      <c r="K80" s="20">
        <f>1119.5+402+6587+595.45</f>
        <v>8703.9500000000007</v>
      </c>
      <c r="L80" s="21">
        <f t="shared" si="4"/>
        <v>27207</v>
      </c>
      <c r="M80" s="22">
        <f t="shared" si="4"/>
        <v>144305.70000000001</v>
      </c>
    </row>
    <row r="81" spans="1:13" s="1" customFormat="1" ht="13.5" thickBot="1" x14ac:dyDescent="0.2">
      <c r="A81" s="16" t="s">
        <v>45</v>
      </c>
      <c r="B81" s="17">
        <f t="shared" ref="B81:M81" si="5">SUM(B69:B80)</f>
        <v>45</v>
      </c>
      <c r="C81" s="23">
        <f t="shared" si="5"/>
        <v>45</v>
      </c>
      <c r="D81" s="17">
        <f t="shared" si="5"/>
        <v>60180</v>
      </c>
      <c r="E81" s="23">
        <f t="shared" si="5"/>
        <v>515447.5</v>
      </c>
      <c r="F81" s="19">
        <f t="shared" si="5"/>
        <v>4</v>
      </c>
      <c r="G81" s="23">
        <f t="shared" si="5"/>
        <v>40</v>
      </c>
      <c r="H81" s="17">
        <f t="shared" si="5"/>
        <v>1339</v>
      </c>
      <c r="I81" s="23">
        <f t="shared" si="5"/>
        <v>1339</v>
      </c>
      <c r="J81" s="17">
        <f t="shared" si="5"/>
        <v>24911</v>
      </c>
      <c r="K81" s="23">
        <f t="shared" si="5"/>
        <v>107016.51</v>
      </c>
      <c r="L81" s="24">
        <f t="shared" si="5"/>
        <v>354402</v>
      </c>
      <c r="M81" s="25">
        <f t="shared" si="5"/>
        <v>1888043.51</v>
      </c>
    </row>
    <row r="82" spans="1:13" s="1" customFormat="1" x14ac:dyDescent="0.15"/>
    <row r="83" spans="1:13" s="1" customFormat="1" ht="15" customHeight="1" x14ac:dyDescent="0.1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s="1" customFormat="1" x14ac:dyDescent="0.15">
      <c r="A84" s="26"/>
    </row>
    <row r="85" spans="1:13" s="1" customFormat="1" ht="15.75" x14ac:dyDescent="0.15">
      <c r="A85" s="3" t="s">
        <v>33</v>
      </c>
    </row>
    <row r="86" spans="1:13" s="1" customFormat="1" ht="17.25" customHeight="1" x14ac:dyDescent="0.15">
      <c r="A86" s="28" t="s">
        <v>35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s="1" customFormat="1" ht="17.25" customHeight="1" x14ac:dyDescent="0.15">
      <c r="A87" s="29" t="s">
        <v>1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 s="1" customFormat="1" ht="17.2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s="1" customFormat="1" ht="17.25" customHeight="1" x14ac:dyDescent="0.15"/>
    <row r="90" spans="1:13" s="1" customFormat="1" ht="17.25" customHeight="1" x14ac:dyDescent="0.15"/>
    <row r="91" spans="1:13" s="1" customFormat="1" ht="13.5" customHeight="1" x14ac:dyDescent="0.15">
      <c r="A91" s="3" t="s">
        <v>44</v>
      </c>
      <c r="B91" s="4"/>
      <c r="C91" s="4"/>
      <c r="D91" s="4"/>
      <c r="E91" s="3"/>
      <c r="F91" s="4"/>
      <c r="G91" s="4"/>
      <c r="H91" s="4"/>
      <c r="I91" s="4"/>
      <c r="L91" s="4"/>
      <c r="M91" s="4"/>
    </row>
    <row r="92" spans="1:13" s="1" customFormat="1" ht="13.5" thickBo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1" customFormat="1" ht="12.75" x14ac:dyDescent="0.15">
      <c r="A93" s="5" t="s">
        <v>3</v>
      </c>
      <c r="B93" s="6" t="s">
        <v>4</v>
      </c>
      <c r="C93" s="6" t="s">
        <v>5</v>
      </c>
      <c r="D93" s="6" t="s">
        <v>6</v>
      </c>
      <c r="E93" s="6" t="s">
        <v>7</v>
      </c>
      <c r="F93" s="6" t="s">
        <v>8</v>
      </c>
      <c r="G93" s="7" t="s">
        <v>9</v>
      </c>
      <c r="H93" s="6" t="s">
        <v>10</v>
      </c>
      <c r="I93" s="7" t="s">
        <v>11</v>
      </c>
      <c r="J93" s="6" t="s">
        <v>12</v>
      </c>
      <c r="K93" s="7" t="s">
        <v>13</v>
      </c>
      <c r="L93" s="5" t="s">
        <v>14</v>
      </c>
      <c r="M93" s="6" t="s">
        <v>15</v>
      </c>
    </row>
    <row r="94" spans="1:13" s="1" customFormat="1" ht="13.5" thickBot="1" x14ac:dyDescent="0.2">
      <c r="A94" s="8" t="s">
        <v>16</v>
      </c>
      <c r="B94" s="9">
        <v>3.75</v>
      </c>
      <c r="C94" s="10" t="s">
        <v>17</v>
      </c>
      <c r="D94" s="9" t="s">
        <v>38</v>
      </c>
      <c r="E94" s="10" t="s">
        <v>17</v>
      </c>
      <c r="F94" s="9" t="s">
        <v>39</v>
      </c>
      <c r="G94" s="11" t="s">
        <v>17</v>
      </c>
      <c r="H94" s="27" t="s">
        <v>40</v>
      </c>
      <c r="I94" s="11" t="s">
        <v>17</v>
      </c>
      <c r="J94" s="9" t="s">
        <v>41</v>
      </c>
      <c r="K94" s="11" t="s">
        <v>17</v>
      </c>
      <c r="L94" s="12" t="s">
        <v>42</v>
      </c>
      <c r="M94" s="10" t="s">
        <v>17</v>
      </c>
    </row>
    <row r="95" spans="1:13" s="1" customFormat="1" ht="12.75" x14ac:dyDescent="0.15">
      <c r="A95" s="13">
        <v>44105</v>
      </c>
      <c r="B95" s="14">
        <v>85824</v>
      </c>
      <c r="C95" s="15">
        <f>SUM(B95*B94)</f>
        <v>321840</v>
      </c>
      <c r="D95" s="14">
        <v>2134</v>
      </c>
      <c r="E95" s="15">
        <v>21249.5</v>
      </c>
      <c r="F95" s="14">
        <v>2082</v>
      </c>
      <c r="G95" s="15">
        <v>29065.5</v>
      </c>
      <c r="H95" s="14">
        <v>76</v>
      </c>
      <c r="I95" s="15">
        <v>1183.25</v>
      </c>
      <c r="J95" s="14">
        <v>18586</v>
      </c>
      <c r="K95" s="15">
        <v>368874</v>
      </c>
      <c r="L95" s="14">
        <v>2124</v>
      </c>
      <c r="M95" s="15">
        <v>50912.5</v>
      </c>
    </row>
    <row r="96" spans="1:13" s="1" customFormat="1" ht="12.75" x14ac:dyDescent="0.15">
      <c r="A96" s="13">
        <v>44136</v>
      </c>
      <c r="B96" s="14">
        <v>86844</v>
      </c>
      <c r="C96" s="15">
        <f>SUM(B96*B94)</f>
        <v>325665</v>
      </c>
      <c r="D96" s="14">
        <v>1915</v>
      </c>
      <c r="E96" s="15">
        <v>19112</v>
      </c>
      <c r="F96" s="14">
        <v>1905</v>
      </c>
      <c r="G96" s="15">
        <v>26460</v>
      </c>
      <c r="H96" s="14">
        <v>65</v>
      </c>
      <c r="I96" s="15">
        <v>1016.25</v>
      </c>
      <c r="J96" s="14">
        <v>16869</v>
      </c>
      <c r="K96" s="15">
        <v>335467</v>
      </c>
      <c r="L96" s="14">
        <v>2505</v>
      </c>
      <c r="M96" s="15">
        <v>60388.5</v>
      </c>
    </row>
    <row r="97" spans="1:13" s="1" customFormat="1" ht="12.75" x14ac:dyDescent="0.15">
      <c r="A97" s="13">
        <v>44166</v>
      </c>
      <c r="B97" s="14">
        <v>85485</v>
      </c>
      <c r="C97" s="15">
        <f>SUM(B97*B94)</f>
        <v>320568.75</v>
      </c>
      <c r="D97" s="14">
        <v>1870</v>
      </c>
      <c r="E97" s="15">
        <v>18689</v>
      </c>
      <c r="F97" s="14">
        <v>1703</v>
      </c>
      <c r="G97" s="15">
        <v>23707.5</v>
      </c>
      <c r="H97" s="14">
        <v>46</v>
      </c>
      <c r="I97" s="15">
        <v>720</v>
      </c>
      <c r="J97" s="14">
        <v>16099</v>
      </c>
      <c r="K97" s="15">
        <v>320738</v>
      </c>
      <c r="L97" s="14">
        <v>2109</v>
      </c>
      <c r="M97" s="15">
        <v>50884</v>
      </c>
    </row>
    <row r="98" spans="1:13" s="1" customFormat="1" ht="12.75" x14ac:dyDescent="0.15">
      <c r="A98" s="13">
        <v>44197</v>
      </c>
      <c r="B98" s="14">
        <v>79894</v>
      </c>
      <c r="C98" s="15">
        <f>SUM(B98*B94)</f>
        <v>299602.5</v>
      </c>
      <c r="D98" s="14">
        <v>1856</v>
      </c>
      <c r="E98" s="15">
        <v>18529</v>
      </c>
      <c r="F98" s="14">
        <v>1790</v>
      </c>
      <c r="G98" s="15">
        <v>24841.5</v>
      </c>
      <c r="H98" s="14">
        <v>63</v>
      </c>
      <c r="I98" s="15">
        <v>981.75</v>
      </c>
      <c r="J98" s="14">
        <v>14573</v>
      </c>
      <c r="K98" s="15">
        <v>289940.75</v>
      </c>
      <c r="L98" s="14">
        <v>2190</v>
      </c>
      <c r="M98" s="15">
        <v>53124.25</v>
      </c>
    </row>
    <row r="99" spans="1:13" s="1" customFormat="1" ht="12.75" x14ac:dyDescent="0.15">
      <c r="A99" s="13">
        <v>44228</v>
      </c>
      <c r="B99" s="14">
        <v>74411</v>
      </c>
      <c r="C99" s="15">
        <f>SUM(B99*B94)</f>
        <v>279041.25</v>
      </c>
      <c r="D99" s="14">
        <v>1656</v>
      </c>
      <c r="E99" s="15">
        <v>16521</v>
      </c>
      <c r="F99" s="14">
        <v>1657</v>
      </c>
      <c r="G99" s="15">
        <v>23044.5</v>
      </c>
      <c r="H99" s="14">
        <v>46</v>
      </c>
      <c r="I99" s="15">
        <v>720</v>
      </c>
      <c r="J99" s="14">
        <v>13573</v>
      </c>
      <c r="K99" s="15">
        <v>270063.75</v>
      </c>
      <c r="L99" s="14">
        <v>2039</v>
      </c>
      <c r="M99" s="15">
        <v>49433.25</v>
      </c>
    </row>
    <row r="100" spans="1:13" s="1" customFormat="1" ht="12.75" x14ac:dyDescent="0.15">
      <c r="A100" s="13">
        <v>44256</v>
      </c>
      <c r="B100" s="14">
        <v>93406</v>
      </c>
      <c r="C100" s="15">
        <f>SUM(B100*B94)</f>
        <v>350272.5</v>
      </c>
      <c r="D100" s="14">
        <v>2110</v>
      </c>
      <c r="E100" s="15">
        <v>21063.5</v>
      </c>
      <c r="F100" s="14">
        <v>2154</v>
      </c>
      <c r="G100" s="15">
        <v>30237</v>
      </c>
      <c r="H100" s="14">
        <v>92</v>
      </c>
      <c r="I100" s="15">
        <v>1438.25</v>
      </c>
      <c r="J100" s="14">
        <v>17350</v>
      </c>
      <c r="K100" s="15">
        <v>344209.25</v>
      </c>
      <c r="L100" s="14">
        <v>1330</v>
      </c>
      <c r="M100" s="15">
        <v>31307.5</v>
      </c>
    </row>
    <row r="101" spans="1:13" s="1" customFormat="1" ht="12.75" x14ac:dyDescent="0.15">
      <c r="A101" s="13">
        <v>44287</v>
      </c>
      <c r="B101" s="14">
        <v>98711</v>
      </c>
      <c r="C101" s="15">
        <f>SUM(B101*B94)</f>
        <v>370166.25</v>
      </c>
      <c r="D101" s="14">
        <v>1909</v>
      </c>
      <c r="E101" s="15">
        <v>18980</v>
      </c>
      <c r="F101" s="14">
        <v>1953</v>
      </c>
      <c r="G101" s="15">
        <v>27354</v>
      </c>
      <c r="H101" s="14">
        <v>114</v>
      </c>
      <c r="I101" s="15">
        <v>1775.75</v>
      </c>
      <c r="J101" s="14">
        <v>15065</v>
      </c>
      <c r="K101" s="15">
        <v>299142.25</v>
      </c>
      <c r="L101" s="14">
        <v>1244</v>
      </c>
      <c r="M101" s="15">
        <v>29493.5</v>
      </c>
    </row>
    <row r="102" spans="1:13" s="1" customFormat="1" ht="12.75" x14ac:dyDescent="0.15">
      <c r="A102" s="13">
        <v>44317</v>
      </c>
      <c r="B102" s="14">
        <v>106021</v>
      </c>
      <c r="C102" s="15">
        <f>SUM(B102*B94)</f>
        <v>397578.75</v>
      </c>
      <c r="D102" s="14">
        <v>1793</v>
      </c>
      <c r="E102" s="15">
        <v>17795.5</v>
      </c>
      <c r="F102" s="14">
        <v>2056</v>
      </c>
      <c r="G102" s="15">
        <v>28648.5</v>
      </c>
      <c r="H102" s="14">
        <v>125</v>
      </c>
      <c r="I102" s="15">
        <v>1944.5</v>
      </c>
      <c r="J102" s="14">
        <v>14889</v>
      </c>
      <c r="K102" s="15">
        <v>295963.25</v>
      </c>
      <c r="L102" s="14">
        <v>1787</v>
      </c>
      <c r="M102" s="15">
        <v>42893.5</v>
      </c>
    </row>
    <row r="103" spans="1:13" s="1" customFormat="1" ht="12.75" x14ac:dyDescent="0.15">
      <c r="A103" s="13">
        <v>44348</v>
      </c>
      <c r="B103" s="14">
        <v>104767</v>
      </c>
      <c r="C103" s="15">
        <f>SUM(B103*B94)</f>
        <v>392876.25</v>
      </c>
      <c r="D103" s="14">
        <v>2012</v>
      </c>
      <c r="E103" s="15">
        <v>20033.5</v>
      </c>
      <c r="F103" s="14">
        <v>1932</v>
      </c>
      <c r="G103" s="15">
        <v>26973</v>
      </c>
      <c r="H103" s="14">
        <v>140</v>
      </c>
      <c r="I103" s="15">
        <v>2178.75</v>
      </c>
      <c r="J103" s="14">
        <v>15624</v>
      </c>
      <c r="K103" s="15">
        <v>310337.5</v>
      </c>
      <c r="L103" s="14">
        <v>1623</v>
      </c>
      <c r="M103" s="15">
        <v>38580</v>
      </c>
    </row>
    <row r="104" spans="1:13" s="1" customFormat="1" ht="12.75" x14ac:dyDescent="0.15">
      <c r="A104" s="13">
        <v>44378</v>
      </c>
      <c r="B104" s="14">
        <v>96527</v>
      </c>
      <c r="C104" s="15">
        <f>SUM(B104*B94)</f>
        <v>361976.25</v>
      </c>
      <c r="D104" s="14">
        <v>1923</v>
      </c>
      <c r="E104" s="15">
        <v>19102.5</v>
      </c>
      <c r="F104" s="14">
        <v>1872</v>
      </c>
      <c r="G104" s="15">
        <v>25956</v>
      </c>
      <c r="H104" s="14">
        <v>116</v>
      </c>
      <c r="I104" s="15">
        <v>1808.5</v>
      </c>
      <c r="J104" s="14">
        <v>15863</v>
      </c>
      <c r="K104" s="15">
        <v>315515.75</v>
      </c>
      <c r="L104" s="14">
        <v>1515</v>
      </c>
      <c r="M104" s="15">
        <v>35839.75</v>
      </c>
    </row>
    <row r="105" spans="1:13" s="1" customFormat="1" ht="12.75" x14ac:dyDescent="0.15">
      <c r="A105" s="13">
        <v>44409</v>
      </c>
      <c r="B105" s="14">
        <v>101925</v>
      </c>
      <c r="C105" s="15">
        <f>SUM(B105*B94)</f>
        <v>382218.75</v>
      </c>
      <c r="D105" s="14">
        <v>2008</v>
      </c>
      <c r="E105" s="15">
        <v>19944.5</v>
      </c>
      <c r="F105" s="14">
        <v>1889</v>
      </c>
      <c r="G105" s="15">
        <v>26278.5</v>
      </c>
      <c r="H105" s="14">
        <v>156</v>
      </c>
      <c r="I105" s="15">
        <v>2433.75</v>
      </c>
      <c r="J105" s="14">
        <v>16389</v>
      </c>
      <c r="K105" s="15">
        <v>326680.75</v>
      </c>
      <c r="L105" s="14">
        <v>1593</v>
      </c>
      <c r="M105" s="15">
        <v>37662</v>
      </c>
    </row>
    <row r="106" spans="1:13" s="1" customFormat="1" ht="12.75" x14ac:dyDescent="0.15">
      <c r="A106" s="13">
        <v>44440</v>
      </c>
      <c r="B106" s="14">
        <v>107200</v>
      </c>
      <c r="C106" s="15">
        <f>B106*B94</f>
        <v>402000</v>
      </c>
      <c r="D106" s="14">
        <v>1925</v>
      </c>
      <c r="E106" s="15">
        <v>19115.5</v>
      </c>
      <c r="F106" s="14">
        <v>1836</v>
      </c>
      <c r="G106" s="15">
        <v>25542</v>
      </c>
      <c r="H106" s="14">
        <v>142</v>
      </c>
      <c r="I106" s="15">
        <v>2225.5</v>
      </c>
      <c r="J106" s="14">
        <v>15391</v>
      </c>
      <c r="K106" s="15">
        <v>306042</v>
      </c>
      <c r="L106" s="14">
        <v>1246</v>
      </c>
      <c r="M106" s="15">
        <v>29562.75</v>
      </c>
    </row>
    <row r="107" spans="1:13" s="1" customFormat="1" ht="13.5" thickBot="1" x14ac:dyDescent="0.2">
      <c r="A107" s="16" t="s">
        <v>45</v>
      </c>
      <c r="B107" s="17">
        <f t="shared" ref="B107:M107" si="6">SUM(B95:B106)</f>
        <v>1121015</v>
      </c>
      <c r="C107" s="18">
        <f t="shared" si="6"/>
        <v>4203806.25</v>
      </c>
      <c r="D107" s="17">
        <f t="shared" si="6"/>
        <v>23111</v>
      </c>
      <c r="E107" s="18">
        <f t="shared" si="6"/>
        <v>230135.5</v>
      </c>
      <c r="F107" s="17">
        <f t="shared" si="6"/>
        <v>22829</v>
      </c>
      <c r="G107" s="18">
        <f t="shared" si="6"/>
        <v>318108</v>
      </c>
      <c r="H107" s="17">
        <f t="shared" si="6"/>
        <v>1181</v>
      </c>
      <c r="I107" s="18">
        <f t="shared" si="6"/>
        <v>18426.25</v>
      </c>
      <c r="J107" s="17">
        <f t="shared" si="6"/>
        <v>190271</v>
      </c>
      <c r="K107" s="18">
        <f t="shared" si="6"/>
        <v>3782974.25</v>
      </c>
      <c r="L107" s="17">
        <f t="shared" si="6"/>
        <v>21305</v>
      </c>
      <c r="M107" s="18">
        <f t="shared" si="6"/>
        <v>510081.5</v>
      </c>
    </row>
    <row r="108" spans="1:13" s="1" customFormat="1" ht="12.75" thickBot="1" x14ac:dyDescent="0.2"/>
    <row r="109" spans="1:13" s="1" customFormat="1" ht="12.75" x14ac:dyDescent="0.15">
      <c r="A109" s="5" t="s">
        <v>3</v>
      </c>
      <c r="B109" s="6" t="s">
        <v>19</v>
      </c>
      <c r="C109" s="6" t="s">
        <v>20</v>
      </c>
      <c r="D109" s="6" t="s">
        <v>21</v>
      </c>
      <c r="E109" s="6" t="s">
        <v>22</v>
      </c>
      <c r="F109" s="6" t="s">
        <v>23</v>
      </c>
      <c r="G109" s="6" t="s">
        <v>24</v>
      </c>
      <c r="H109" s="6" t="s">
        <v>25</v>
      </c>
      <c r="I109" s="6" t="s">
        <v>26</v>
      </c>
      <c r="J109" s="6" t="s">
        <v>27</v>
      </c>
      <c r="K109" s="6" t="s">
        <v>28</v>
      </c>
      <c r="L109" s="6" t="s">
        <v>29</v>
      </c>
      <c r="M109" s="6" t="s">
        <v>29</v>
      </c>
    </row>
    <row r="110" spans="1:13" s="1" customFormat="1" ht="13.5" thickBot="1" x14ac:dyDescent="0.2">
      <c r="A110" s="8" t="s">
        <v>16</v>
      </c>
      <c r="B110" s="9">
        <v>1</v>
      </c>
      <c r="C110" s="10" t="s">
        <v>17</v>
      </c>
      <c r="D110" s="9" t="s">
        <v>30</v>
      </c>
      <c r="E110" s="10" t="s">
        <v>17</v>
      </c>
      <c r="F110" s="9">
        <v>10</v>
      </c>
      <c r="G110" s="10" t="s">
        <v>17</v>
      </c>
      <c r="H110" s="9">
        <v>1</v>
      </c>
      <c r="I110" s="10" t="s">
        <v>17</v>
      </c>
      <c r="J110" s="10"/>
      <c r="K110" s="10" t="s">
        <v>17</v>
      </c>
      <c r="L110" s="10" t="s">
        <v>31</v>
      </c>
      <c r="M110" s="10" t="s">
        <v>32</v>
      </c>
    </row>
    <row r="111" spans="1:13" s="1" customFormat="1" ht="12.75" x14ac:dyDescent="0.15">
      <c r="A111" s="13">
        <v>44105</v>
      </c>
      <c r="B111" s="14">
        <v>1786</v>
      </c>
      <c r="C111" s="20">
        <f>SUM(B111*B110)</f>
        <v>1786</v>
      </c>
      <c r="D111" s="14">
        <v>0</v>
      </c>
      <c r="E111" s="20">
        <v>0</v>
      </c>
      <c r="F111" s="14">
        <v>3</v>
      </c>
      <c r="G111" s="20">
        <f>F111*F110</f>
        <v>30</v>
      </c>
      <c r="H111" s="14">
        <v>227</v>
      </c>
      <c r="I111" s="20">
        <f>SUM(H111*H110)</f>
        <v>227</v>
      </c>
      <c r="J111" s="14">
        <f>3+164+219</f>
        <v>386</v>
      </c>
      <c r="K111" s="20">
        <f>167.5+492+766.5+1043.34</f>
        <v>2469.34</v>
      </c>
      <c r="L111" s="21">
        <f t="shared" ref="L111:M122" si="7">B95+D95+F95+H95+J95+L95+B111+D111+F111+H111+J111</f>
        <v>113228</v>
      </c>
      <c r="M111" s="22">
        <f t="shared" si="7"/>
        <v>797637.09</v>
      </c>
    </row>
    <row r="112" spans="1:13" s="1" customFormat="1" ht="12.75" x14ac:dyDescent="0.15">
      <c r="A112" s="13">
        <v>44136</v>
      </c>
      <c r="B112" s="14">
        <v>1595</v>
      </c>
      <c r="C112" s="20">
        <f>SUM(B112*B110)</f>
        <v>1595</v>
      </c>
      <c r="D112" s="14">
        <v>0</v>
      </c>
      <c r="E112" s="20">
        <v>0</v>
      </c>
      <c r="F112" s="14">
        <v>3</v>
      </c>
      <c r="G112" s="20">
        <f>F112*F110</f>
        <v>30</v>
      </c>
      <c r="H112" s="14">
        <v>190</v>
      </c>
      <c r="I112" s="20">
        <f>SUM(H112*H110)</f>
        <v>190</v>
      </c>
      <c r="J112" s="14">
        <f>219+203</f>
        <v>422</v>
      </c>
      <c r="K112" s="20">
        <f>657+710.5+856.37</f>
        <v>2223.87</v>
      </c>
      <c r="L112" s="21">
        <f t="shared" si="7"/>
        <v>112313</v>
      </c>
      <c r="M112" s="22">
        <f t="shared" si="7"/>
        <v>772147.62</v>
      </c>
    </row>
    <row r="113" spans="1:13" s="1" customFormat="1" ht="12.75" x14ac:dyDescent="0.15">
      <c r="A113" s="13">
        <v>44166</v>
      </c>
      <c r="B113" s="14">
        <v>1480</v>
      </c>
      <c r="C113" s="20">
        <f>SUM(B113*B110)</f>
        <v>1480</v>
      </c>
      <c r="D113" s="14">
        <v>0</v>
      </c>
      <c r="E113" s="20">
        <v>0</v>
      </c>
      <c r="F113" s="14">
        <v>3</v>
      </c>
      <c r="G113" s="20">
        <f>F113*F110</f>
        <v>30</v>
      </c>
      <c r="H113" s="14">
        <v>239</v>
      </c>
      <c r="I113" s="20">
        <f>SUM(H113*H110)</f>
        <v>239</v>
      </c>
      <c r="J113" s="14">
        <f>521+1</f>
        <v>522</v>
      </c>
      <c r="K113" s="20">
        <f>33.5+894+780.5+857.32</f>
        <v>2565.3200000000002</v>
      </c>
      <c r="L113" s="21">
        <f t="shared" si="7"/>
        <v>109556</v>
      </c>
      <c r="M113" s="22">
        <f t="shared" si="7"/>
        <v>739621.57</v>
      </c>
    </row>
    <row r="114" spans="1:13" s="1" customFormat="1" ht="12.75" x14ac:dyDescent="0.15">
      <c r="A114" s="13">
        <v>44197</v>
      </c>
      <c r="B114" s="14">
        <v>1553</v>
      </c>
      <c r="C114" s="20">
        <f>SUM(B114*B110)</f>
        <v>1553</v>
      </c>
      <c r="D114" s="14">
        <v>0</v>
      </c>
      <c r="E114" s="20">
        <v>0</v>
      </c>
      <c r="F114" s="14">
        <v>2</v>
      </c>
      <c r="G114" s="20">
        <f>F114*F110</f>
        <v>20</v>
      </c>
      <c r="H114" s="14">
        <v>200</v>
      </c>
      <c r="I114" s="20">
        <f>SUM(H114*H110)</f>
        <v>200</v>
      </c>
      <c r="J114" s="14">
        <f>1+219+202</f>
        <v>422</v>
      </c>
      <c r="K114" s="20">
        <f>37+657+707+656.43+20</f>
        <v>2077.4299999999998</v>
      </c>
      <c r="L114" s="21">
        <f t="shared" si="7"/>
        <v>102543</v>
      </c>
      <c r="M114" s="22">
        <f t="shared" si="7"/>
        <v>690870.18</v>
      </c>
    </row>
    <row r="115" spans="1:13" s="1" customFormat="1" ht="12.75" x14ac:dyDescent="0.15">
      <c r="A115" s="13">
        <v>44228</v>
      </c>
      <c r="B115" s="14">
        <v>1122</v>
      </c>
      <c r="C115" s="20">
        <f>SUM(B115*B110)</f>
        <v>1122</v>
      </c>
      <c r="D115" s="14">
        <v>0</v>
      </c>
      <c r="E115" s="20">
        <v>0</v>
      </c>
      <c r="F115" s="14">
        <v>4</v>
      </c>
      <c r="G115" s="20">
        <f>F115*F110</f>
        <v>40</v>
      </c>
      <c r="H115" s="14">
        <v>166</v>
      </c>
      <c r="I115" s="20">
        <f>SUM(H115*H110)</f>
        <v>166</v>
      </c>
      <c r="J115" s="14">
        <v>342</v>
      </c>
      <c r="K115" s="20">
        <v>4579.13</v>
      </c>
      <c r="L115" s="21">
        <f t="shared" si="7"/>
        <v>95016</v>
      </c>
      <c r="M115" s="22">
        <f t="shared" si="7"/>
        <v>644730.88</v>
      </c>
    </row>
    <row r="116" spans="1:13" s="1" customFormat="1" ht="12.75" x14ac:dyDescent="0.15">
      <c r="A116" s="13">
        <v>44256</v>
      </c>
      <c r="B116" s="14">
        <v>1583</v>
      </c>
      <c r="C116" s="20">
        <f>SUM(B116*B110)</f>
        <v>1583</v>
      </c>
      <c r="D116" s="14">
        <v>0</v>
      </c>
      <c r="E116" s="20">
        <v>0</v>
      </c>
      <c r="F116" s="14">
        <v>1</v>
      </c>
      <c r="G116" s="20">
        <f>F116*F110</f>
        <v>10</v>
      </c>
      <c r="H116" s="14">
        <v>227</v>
      </c>
      <c r="I116" s="20">
        <f>SUM(H116*H110)</f>
        <v>227</v>
      </c>
      <c r="J116" s="14">
        <v>551</v>
      </c>
      <c r="K116" s="20">
        <v>6512.67</v>
      </c>
      <c r="L116" s="21">
        <f t="shared" si="7"/>
        <v>118804</v>
      </c>
      <c r="M116" s="22">
        <f t="shared" si="7"/>
        <v>786860.67</v>
      </c>
    </row>
    <row r="117" spans="1:13" s="1" customFormat="1" ht="12.75" x14ac:dyDescent="0.15">
      <c r="A117" s="13">
        <v>44287</v>
      </c>
      <c r="B117" s="14">
        <v>1357</v>
      </c>
      <c r="C117" s="20">
        <f>SUM(B117*B110)</f>
        <v>1357</v>
      </c>
      <c r="D117" s="14">
        <v>0</v>
      </c>
      <c r="E117" s="20">
        <v>0</v>
      </c>
      <c r="F117" s="14">
        <v>2</v>
      </c>
      <c r="G117" s="20">
        <f>F117*F110</f>
        <v>20</v>
      </c>
      <c r="H117" s="14">
        <v>219</v>
      </c>
      <c r="I117" s="20">
        <f>SUM(H117*H110)</f>
        <v>219</v>
      </c>
      <c r="J117" s="14">
        <f>3+224+287</f>
        <v>514</v>
      </c>
      <c r="K117" s="20">
        <f>243.5+672+1004.5+4951.79</f>
        <v>6871.79</v>
      </c>
      <c r="L117" s="21">
        <f t="shared" si="7"/>
        <v>121088</v>
      </c>
      <c r="M117" s="22">
        <f t="shared" si="7"/>
        <v>755379.54</v>
      </c>
    </row>
    <row r="118" spans="1:13" s="1" customFormat="1" ht="12.75" x14ac:dyDescent="0.15">
      <c r="A118" s="13">
        <v>44317</v>
      </c>
      <c r="B118" s="14">
        <v>1308</v>
      </c>
      <c r="C118" s="20">
        <f>SUM(B118*B110)</f>
        <v>1308</v>
      </c>
      <c r="D118" s="14">
        <v>0</v>
      </c>
      <c r="E118" s="20">
        <v>0</v>
      </c>
      <c r="F118" s="14">
        <v>3</v>
      </c>
      <c r="G118" s="20">
        <f>F118*F110</f>
        <v>30</v>
      </c>
      <c r="H118" s="14">
        <v>164</v>
      </c>
      <c r="I118" s="20">
        <f>SUM(H118*H110)</f>
        <v>164</v>
      </c>
      <c r="J118" s="14">
        <f>266+223</f>
        <v>489</v>
      </c>
      <c r="K118" s="20">
        <f>798+780.5+50+5708.2</f>
        <v>7336.7</v>
      </c>
      <c r="L118" s="21">
        <f t="shared" si="7"/>
        <v>128635</v>
      </c>
      <c r="M118" s="22">
        <f t="shared" si="7"/>
        <v>793662.7</v>
      </c>
    </row>
    <row r="119" spans="1:13" s="1" customFormat="1" ht="12.75" x14ac:dyDescent="0.15">
      <c r="A119" s="13">
        <v>44348</v>
      </c>
      <c r="B119" s="14">
        <v>1139</v>
      </c>
      <c r="C119" s="20">
        <f>SUM(B119*B110)</f>
        <v>1139</v>
      </c>
      <c r="D119" s="14">
        <v>0</v>
      </c>
      <c r="E119" s="20">
        <v>0</v>
      </c>
      <c r="F119" s="14">
        <v>5</v>
      </c>
      <c r="G119" s="20">
        <f>F119*F110</f>
        <v>50</v>
      </c>
      <c r="H119" s="14">
        <v>190</v>
      </c>
      <c r="I119" s="20">
        <f>SUM(H119*H110)</f>
        <v>190</v>
      </c>
      <c r="J119" s="14">
        <f>3+236+251</f>
        <v>490</v>
      </c>
      <c r="K119" s="20">
        <f>107+708+878.5+5277.14+34</f>
        <v>7004.64</v>
      </c>
      <c r="L119" s="21">
        <f t="shared" si="7"/>
        <v>127922</v>
      </c>
      <c r="M119" s="22">
        <f t="shared" si="7"/>
        <v>799362.64</v>
      </c>
    </row>
    <row r="120" spans="1:13" s="1" customFormat="1" ht="12.75" x14ac:dyDescent="0.15">
      <c r="A120" s="13">
        <v>44378</v>
      </c>
      <c r="B120" s="14">
        <v>925</v>
      </c>
      <c r="C120" s="20">
        <f>SUM(B120*B110)</f>
        <v>925</v>
      </c>
      <c r="D120" s="14">
        <v>0</v>
      </c>
      <c r="E120" s="20">
        <v>0</v>
      </c>
      <c r="F120" s="14">
        <v>4</v>
      </c>
      <c r="G120" s="20">
        <f>F120*F110</f>
        <v>40</v>
      </c>
      <c r="H120" s="14">
        <v>141</v>
      </c>
      <c r="I120" s="20">
        <f>SUM(H120*H110)</f>
        <v>141</v>
      </c>
      <c r="J120" s="14">
        <f>1+293+232</f>
        <v>526</v>
      </c>
      <c r="K120" s="20">
        <f>33.5+879+812+4763.53+19.35</f>
        <v>6507.38</v>
      </c>
      <c r="L120" s="21">
        <f t="shared" si="7"/>
        <v>119412</v>
      </c>
      <c r="M120" s="22">
        <f t="shared" si="7"/>
        <v>767812.13</v>
      </c>
    </row>
    <row r="121" spans="1:13" s="1" customFormat="1" ht="12.75" x14ac:dyDescent="0.15">
      <c r="A121" s="13">
        <v>44409</v>
      </c>
      <c r="B121" s="14">
        <v>1091</v>
      </c>
      <c r="C121" s="20">
        <f>SUM(B121*B110)</f>
        <v>1091</v>
      </c>
      <c r="D121" s="14">
        <v>0</v>
      </c>
      <c r="E121" s="20">
        <v>0</v>
      </c>
      <c r="F121" s="14">
        <v>5</v>
      </c>
      <c r="G121" s="20">
        <f>F121*F110</f>
        <v>50</v>
      </c>
      <c r="H121" s="14">
        <v>147</v>
      </c>
      <c r="I121" s="20">
        <f>SUM(H121*H110)</f>
        <v>147</v>
      </c>
      <c r="J121" s="14">
        <f>4+252+300</f>
        <v>556</v>
      </c>
      <c r="K121" s="20">
        <f>127+756+1050+5387.71+5</f>
        <v>7325.71</v>
      </c>
      <c r="L121" s="21">
        <f t="shared" si="7"/>
        <v>125759</v>
      </c>
      <c r="M121" s="22">
        <f t="shared" si="7"/>
        <v>803831.96</v>
      </c>
    </row>
    <row r="122" spans="1:13" s="1" customFormat="1" ht="12.75" x14ac:dyDescent="0.15">
      <c r="A122" s="13">
        <v>44440</v>
      </c>
      <c r="B122" s="14">
        <v>978</v>
      </c>
      <c r="C122" s="20">
        <f>SUM(B122*B110)</f>
        <v>978</v>
      </c>
      <c r="D122" s="14">
        <v>0</v>
      </c>
      <c r="E122" s="20">
        <v>0</v>
      </c>
      <c r="F122" s="14">
        <v>3</v>
      </c>
      <c r="G122" s="20">
        <f>F122*F110</f>
        <v>30</v>
      </c>
      <c r="H122" s="14">
        <v>137</v>
      </c>
      <c r="I122" s="20">
        <f>SUM(H122*H110)</f>
        <v>137</v>
      </c>
      <c r="J122" s="14">
        <f>2+238+273</f>
        <v>513</v>
      </c>
      <c r="K122" s="20">
        <f>63.5+714+955.5+5722.59+42</f>
        <v>7497.59</v>
      </c>
      <c r="L122" s="21">
        <f t="shared" si="7"/>
        <v>129371</v>
      </c>
      <c r="M122" s="22">
        <f t="shared" si="7"/>
        <v>793130.34</v>
      </c>
    </row>
    <row r="123" spans="1:13" s="1" customFormat="1" ht="13.5" thickBot="1" x14ac:dyDescent="0.2">
      <c r="A123" s="16" t="s">
        <v>45</v>
      </c>
      <c r="B123" s="17">
        <f t="shared" ref="B123:M123" si="8">SUM(B111:B122)</f>
        <v>15917</v>
      </c>
      <c r="C123" s="23">
        <f t="shared" si="8"/>
        <v>15917</v>
      </c>
      <c r="D123" s="19">
        <f t="shared" si="8"/>
        <v>0</v>
      </c>
      <c r="E123" s="23">
        <f t="shared" si="8"/>
        <v>0</v>
      </c>
      <c r="F123" s="19">
        <f t="shared" si="8"/>
        <v>38</v>
      </c>
      <c r="G123" s="23">
        <f t="shared" si="8"/>
        <v>380</v>
      </c>
      <c r="H123" s="19">
        <f t="shared" si="8"/>
        <v>2247</v>
      </c>
      <c r="I123" s="23">
        <f t="shared" si="8"/>
        <v>2247</v>
      </c>
      <c r="J123" s="17">
        <f t="shared" si="8"/>
        <v>5733</v>
      </c>
      <c r="K123" s="23">
        <f t="shared" si="8"/>
        <v>62971.569999999992</v>
      </c>
      <c r="L123" s="24">
        <f t="shared" si="8"/>
        <v>1403647</v>
      </c>
      <c r="M123" s="25">
        <f t="shared" si="8"/>
        <v>9145047.3200000003</v>
      </c>
    </row>
    <row r="124" spans="1:13" s="1" customFormat="1" x14ac:dyDescent="0.15"/>
    <row r="125" spans="1:13" s="1" customFormat="1" ht="15" customHeight="1" x14ac:dyDescent="0.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s="1" customFormat="1" x14ac:dyDescent="0.15">
      <c r="A126" s="26"/>
    </row>
    <row r="127" spans="1:13" s="1" customFormat="1" ht="15.75" x14ac:dyDescent="0.15">
      <c r="A127" s="3" t="s">
        <v>33</v>
      </c>
    </row>
    <row r="128" spans="1:13" s="1" customFormat="1" ht="17.25" customHeight="1" x14ac:dyDescent="0.15">
      <c r="A128" s="28" t="s">
        <v>36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s="1" customFormat="1" ht="17.25" customHeight="1" x14ac:dyDescent="0.15">
      <c r="A129" s="29" t="s">
        <v>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s="1" customFormat="1" ht="17.2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1" customFormat="1" ht="17.25" customHeight="1" x14ac:dyDescent="0.15"/>
    <row r="132" spans="1:13" s="1" customFormat="1" ht="17.25" customHeight="1" x14ac:dyDescent="0.15"/>
    <row r="133" spans="1:13" s="1" customFormat="1" ht="13.5" customHeight="1" x14ac:dyDescent="0.15">
      <c r="A133" s="3" t="s">
        <v>44</v>
      </c>
      <c r="B133" s="4"/>
      <c r="C133" s="4"/>
      <c r="D133" s="4"/>
      <c r="E133" s="3"/>
      <c r="F133" s="4"/>
      <c r="G133" s="4"/>
      <c r="H133" s="4"/>
      <c r="I133" s="4"/>
      <c r="L133" s="4"/>
      <c r="M133" s="4"/>
    </row>
    <row r="134" spans="1:13" ht="13.5" thickBo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2.75" x14ac:dyDescent="0.15">
      <c r="A135" s="5" t="s">
        <v>3</v>
      </c>
      <c r="B135" s="6" t="s">
        <v>4</v>
      </c>
      <c r="C135" s="6" t="s">
        <v>5</v>
      </c>
      <c r="D135" s="6" t="s">
        <v>6</v>
      </c>
      <c r="E135" s="6" t="s">
        <v>7</v>
      </c>
      <c r="F135" s="6" t="s">
        <v>8</v>
      </c>
      <c r="G135" s="7" t="s">
        <v>9</v>
      </c>
      <c r="H135" s="6" t="s">
        <v>10</v>
      </c>
      <c r="I135" s="7" t="s">
        <v>11</v>
      </c>
      <c r="J135" s="6" t="s">
        <v>12</v>
      </c>
      <c r="K135" s="7" t="s">
        <v>13</v>
      </c>
      <c r="L135" s="5" t="s">
        <v>14</v>
      </c>
      <c r="M135" s="6" t="s">
        <v>15</v>
      </c>
    </row>
    <row r="136" spans="1:13" ht="13.5" thickBot="1" x14ac:dyDescent="0.2">
      <c r="A136" s="8" t="s">
        <v>16</v>
      </c>
      <c r="B136" s="9">
        <v>3.75</v>
      </c>
      <c r="C136" s="10" t="s">
        <v>17</v>
      </c>
      <c r="D136" s="9" t="s">
        <v>38</v>
      </c>
      <c r="E136" s="10" t="s">
        <v>17</v>
      </c>
      <c r="F136" s="9" t="s">
        <v>39</v>
      </c>
      <c r="G136" s="11" t="s">
        <v>17</v>
      </c>
      <c r="H136" s="27" t="s">
        <v>40</v>
      </c>
      <c r="I136" s="11" t="s">
        <v>17</v>
      </c>
      <c r="J136" s="9" t="s">
        <v>41</v>
      </c>
      <c r="K136" s="11" t="s">
        <v>17</v>
      </c>
      <c r="L136" s="12" t="s">
        <v>42</v>
      </c>
      <c r="M136" s="10" t="s">
        <v>17</v>
      </c>
    </row>
    <row r="137" spans="1:13" ht="12.75" x14ac:dyDescent="0.15">
      <c r="A137" s="13">
        <v>44105</v>
      </c>
      <c r="B137" s="14">
        <f t="shared" ref="B137:M148" si="9">B11+B53+B95</f>
        <v>174863</v>
      </c>
      <c r="C137" s="15">
        <f t="shared" si="9"/>
        <v>655736.25</v>
      </c>
      <c r="D137" s="14">
        <f t="shared" si="9"/>
        <v>2243</v>
      </c>
      <c r="E137" s="15">
        <f t="shared" si="9"/>
        <v>22343.5</v>
      </c>
      <c r="F137" s="14">
        <f t="shared" si="9"/>
        <v>3320</v>
      </c>
      <c r="G137" s="15">
        <f t="shared" si="9"/>
        <v>47476.5</v>
      </c>
      <c r="H137" s="14">
        <f t="shared" si="9"/>
        <v>84</v>
      </c>
      <c r="I137" s="15">
        <f t="shared" si="9"/>
        <v>1307.25</v>
      </c>
      <c r="J137" s="14">
        <f t="shared" si="9"/>
        <v>19316</v>
      </c>
      <c r="K137" s="15">
        <f t="shared" si="9"/>
        <v>383875.25</v>
      </c>
      <c r="L137" s="14">
        <f t="shared" si="9"/>
        <v>2196</v>
      </c>
      <c r="M137" s="15">
        <f t="shared" si="9"/>
        <v>52626.75</v>
      </c>
    </row>
    <row r="138" spans="1:13" ht="12.75" x14ac:dyDescent="0.15">
      <c r="A138" s="13">
        <v>44136</v>
      </c>
      <c r="B138" s="14">
        <f t="shared" si="9"/>
        <v>178421</v>
      </c>
      <c r="C138" s="15">
        <f t="shared" si="9"/>
        <v>669078.75</v>
      </c>
      <c r="D138" s="14">
        <f t="shared" si="9"/>
        <v>2019</v>
      </c>
      <c r="E138" s="15">
        <f t="shared" si="9"/>
        <v>20164.5</v>
      </c>
      <c r="F138" s="14">
        <f t="shared" si="9"/>
        <v>2564</v>
      </c>
      <c r="G138" s="15">
        <f t="shared" si="9"/>
        <v>36216</v>
      </c>
      <c r="H138" s="14">
        <f t="shared" si="9"/>
        <v>69</v>
      </c>
      <c r="I138" s="15">
        <f t="shared" si="9"/>
        <v>1083.5</v>
      </c>
      <c r="J138" s="14">
        <f t="shared" si="9"/>
        <v>17411</v>
      </c>
      <c r="K138" s="15">
        <f t="shared" si="9"/>
        <v>346439.5</v>
      </c>
      <c r="L138" s="14">
        <f t="shared" si="9"/>
        <v>2648</v>
      </c>
      <c r="M138" s="15">
        <f t="shared" si="9"/>
        <v>63748.25</v>
      </c>
    </row>
    <row r="139" spans="1:13" ht="12.75" x14ac:dyDescent="0.15">
      <c r="A139" s="13">
        <v>44166</v>
      </c>
      <c r="B139" s="14">
        <f t="shared" si="9"/>
        <v>181472</v>
      </c>
      <c r="C139" s="15">
        <f t="shared" si="9"/>
        <v>680520</v>
      </c>
      <c r="D139" s="14">
        <f t="shared" si="9"/>
        <v>1963</v>
      </c>
      <c r="E139" s="15">
        <f t="shared" si="9"/>
        <v>19634</v>
      </c>
      <c r="F139" s="14">
        <f t="shared" si="9"/>
        <v>2521</v>
      </c>
      <c r="G139" s="15">
        <f t="shared" si="9"/>
        <v>35839.5</v>
      </c>
      <c r="H139" s="14">
        <f t="shared" si="9"/>
        <v>54</v>
      </c>
      <c r="I139" s="15">
        <f t="shared" si="9"/>
        <v>856.25</v>
      </c>
      <c r="J139" s="14">
        <f t="shared" si="9"/>
        <v>16598</v>
      </c>
      <c r="K139" s="15">
        <f t="shared" si="9"/>
        <v>330926.75</v>
      </c>
      <c r="L139" s="14">
        <f t="shared" si="9"/>
        <v>2244</v>
      </c>
      <c r="M139" s="15">
        <f t="shared" si="9"/>
        <v>54033.25</v>
      </c>
    </row>
    <row r="140" spans="1:13" ht="12.75" x14ac:dyDescent="0.15">
      <c r="A140" s="13">
        <v>44197</v>
      </c>
      <c r="B140" s="14">
        <f t="shared" si="9"/>
        <v>165235</v>
      </c>
      <c r="C140" s="15">
        <f t="shared" si="9"/>
        <v>619631.25</v>
      </c>
      <c r="D140" s="14">
        <f t="shared" si="9"/>
        <v>1944</v>
      </c>
      <c r="E140" s="15">
        <f t="shared" si="9"/>
        <v>19416</v>
      </c>
      <c r="F140" s="14">
        <f t="shared" si="9"/>
        <v>2574</v>
      </c>
      <c r="G140" s="15">
        <f t="shared" si="9"/>
        <v>36480</v>
      </c>
      <c r="H140" s="14">
        <f t="shared" si="9"/>
        <v>65</v>
      </c>
      <c r="I140" s="15">
        <f t="shared" si="9"/>
        <v>1016.25</v>
      </c>
      <c r="J140" s="14">
        <f t="shared" si="9"/>
        <v>15287</v>
      </c>
      <c r="K140" s="15">
        <f t="shared" si="9"/>
        <v>304810</v>
      </c>
      <c r="L140" s="14">
        <f t="shared" si="9"/>
        <v>2271</v>
      </c>
      <c r="M140" s="15">
        <f t="shared" si="9"/>
        <v>55016.25</v>
      </c>
    </row>
    <row r="141" spans="1:13" ht="12.75" x14ac:dyDescent="0.15">
      <c r="A141" s="13">
        <v>44228</v>
      </c>
      <c r="B141" s="14">
        <f t="shared" si="9"/>
        <v>152169</v>
      </c>
      <c r="C141" s="15">
        <f t="shared" si="9"/>
        <v>570633.75</v>
      </c>
      <c r="D141" s="14">
        <f t="shared" si="9"/>
        <v>1721</v>
      </c>
      <c r="E141" s="15">
        <f t="shared" si="9"/>
        <v>17189.5</v>
      </c>
      <c r="F141" s="14">
        <f t="shared" si="9"/>
        <v>2217</v>
      </c>
      <c r="G141" s="15">
        <f t="shared" si="9"/>
        <v>31357.5</v>
      </c>
      <c r="H141" s="14">
        <f t="shared" si="9"/>
        <v>47</v>
      </c>
      <c r="I141" s="15">
        <f t="shared" si="9"/>
        <v>735.5</v>
      </c>
      <c r="J141" s="14">
        <f t="shared" si="9"/>
        <v>14044</v>
      </c>
      <c r="K141" s="15">
        <f t="shared" si="9"/>
        <v>279716.25</v>
      </c>
      <c r="L141" s="14">
        <f t="shared" si="9"/>
        <v>2133</v>
      </c>
      <c r="M141" s="15">
        <f t="shared" si="9"/>
        <v>51627.5</v>
      </c>
    </row>
    <row r="142" spans="1:13" ht="12.75" x14ac:dyDescent="0.15">
      <c r="A142" s="13">
        <v>44256</v>
      </c>
      <c r="B142" s="14">
        <f t="shared" si="9"/>
        <v>193400</v>
      </c>
      <c r="C142" s="15">
        <f t="shared" si="9"/>
        <v>725250</v>
      </c>
      <c r="D142" s="14">
        <f t="shared" si="9"/>
        <v>2194</v>
      </c>
      <c r="E142" s="15">
        <f t="shared" si="9"/>
        <v>21917</v>
      </c>
      <c r="F142" s="14">
        <f t="shared" si="9"/>
        <v>3042</v>
      </c>
      <c r="G142" s="15">
        <f t="shared" si="9"/>
        <v>43498.5</v>
      </c>
      <c r="H142" s="14">
        <f t="shared" si="9"/>
        <v>98</v>
      </c>
      <c r="I142" s="15">
        <f t="shared" si="9"/>
        <v>1538.25</v>
      </c>
      <c r="J142" s="14">
        <f t="shared" si="9"/>
        <v>18070</v>
      </c>
      <c r="K142" s="15">
        <f t="shared" si="9"/>
        <v>358954.75</v>
      </c>
      <c r="L142" s="14">
        <f t="shared" si="9"/>
        <v>1436</v>
      </c>
      <c r="M142" s="15">
        <f t="shared" si="9"/>
        <v>33782.5</v>
      </c>
    </row>
    <row r="143" spans="1:13" ht="12.75" x14ac:dyDescent="0.15">
      <c r="A143" s="13">
        <v>44287</v>
      </c>
      <c r="B143" s="14">
        <f t="shared" si="9"/>
        <v>199278</v>
      </c>
      <c r="C143" s="15">
        <f t="shared" si="9"/>
        <v>747292.5</v>
      </c>
      <c r="D143" s="14">
        <f t="shared" si="9"/>
        <v>1992</v>
      </c>
      <c r="E143" s="15">
        <f t="shared" si="9"/>
        <v>19831.5</v>
      </c>
      <c r="F143" s="14">
        <f t="shared" si="9"/>
        <v>2930</v>
      </c>
      <c r="G143" s="15">
        <f t="shared" si="9"/>
        <v>41956.5</v>
      </c>
      <c r="H143" s="14">
        <f t="shared" si="9"/>
        <v>117</v>
      </c>
      <c r="I143" s="15">
        <f t="shared" si="9"/>
        <v>1825.75</v>
      </c>
      <c r="J143" s="14">
        <f t="shared" si="9"/>
        <v>15740</v>
      </c>
      <c r="K143" s="15">
        <f t="shared" si="9"/>
        <v>312895</v>
      </c>
      <c r="L143" s="14">
        <f t="shared" si="9"/>
        <v>1289</v>
      </c>
      <c r="M143" s="15">
        <f t="shared" si="9"/>
        <v>30557.25</v>
      </c>
    </row>
    <row r="144" spans="1:13" ht="12.75" x14ac:dyDescent="0.15">
      <c r="A144" s="13">
        <v>44317</v>
      </c>
      <c r="B144" s="14">
        <f t="shared" si="9"/>
        <v>216938</v>
      </c>
      <c r="C144" s="15">
        <f t="shared" si="9"/>
        <v>813517.5</v>
      </c>
      <c r="D144" s="14">
        <f t="shared" si="9"/>
        <v>1859</v>
      </c>
      <c r="E144" s="15">
        <f t="shared" si="9"/>
        <v>18464.5</v>
      </c>
      <c r="F144" s="14">
        <f t="shared" si="9"/>
        <v>2453</v>
      </c>
      <c r="G144" s="15">
        <f t="shared" si="9"/>
        <v>34530</v>
      </c>
      <c r="H144" s="14">
        <f t="shared" si="9"/>
        <v>130</v>
      </c>
      <c r="I144" s="15">
        <f t="shared" si="9"/>
        <v>2025.5</v>
      </c>
      <c r="J144" s="14">
        <f t="shared" si="9"/>
        <v>15545</v>
      </c>
      <c r="K144" s="15">
        <f t="shared" si="9"/>
        <v>309333.75</v>
      </c>
      <c r="L144" s="14">
        <f t="shared" si="9"/>
        <v>1830</v>
      </c>
      <c r="M144" s="15">
        <f t="shared" si="9"/>
        <v>43924.75</v>
      </c>
    </row>
    <row r="145" spans="1:13" ht="12.75" x14ac:dyDescent="0.15">
      <c r="A145" s="13">
        <v>44348</v>
      </c>
      <c r="B145" s="14">
        <f t="shared" si="9"/>
        <v>214377</v>
      </c>
      <c r="C145" s="15">
        <f t="shared" si="9"/>
        <v>803913.75</v>
      </c>
      <c r="D145" s="14">
        <f t="shared" si="9"/>
        <v>2099</v>
      </c>
      <c r="E145" s="15">
        <f t="shared" si="9"/>
        <v>20917</v>
      </c>
      <c r="F145" s="14">
        <f t="shared" si="9"/>
        <v>2370</v>
      </c>
      <c r="G145" s="15">
        <f t="shared" si="9"/>
        <v>33457.5</v>
      </c>
      <c r="H145" s="14">
        <f t="shared" si="9"/>
        <v>143</v>
      </c>
      <c r="I145" s="15">
        <f t="shared" si="9"/>
        <v>2228.75</v>
      </c>
      <c r="J145" s="14">
        <f t="shared" si="9"/>
        <v>16589</v>
      </c>
      <c r="K145" s="15">
        <f t="shared" si="9"/>
        <v>330591.25</v>
      </c>
      <c r="L145" s="14">
        <f t="shared" si="9"/>
        <v>1670</v>
      </c>
      <c r="M145" s="15">
        <f t="shared" si="9"/>
        <v>39706</v>
      </c>
    </row>
    <row r="146" spans="1:13" ht="12.75" x14ac:dyDescent="0.15">
      <c r="A146" s="13">
        <v>44378</v>
      </c>
      <c r="B146" s="14">
        <f t="shared" si="9"/>
        <v>209295</v>
      </c>
      <c r="C146" s="15">
        <f t="shared" si="9"/>
        <v>784856.25</v>
      </c>
      <c r="D146" s="14">
        <f t="shared" si="9"/>
        <v>1998</v>
      </c>
      <c r="E146" s="15">
        <f t="shared" si="9"/>
        <v>19863</v>
      </c>
      <c r="F146" s="14">
        <f t="shared" si="9"/>
        <v>2250</v>
      </c>
      <c r="G146" s="15">
        <f t="shared" si="9"/>
        <v>31488</v>
      </c>
      <c r="H146" s="14">
        <f t="shared" si="9"/>
        <v>125</v>
      </c>
      <c r="I146" s="15">
        <f t="shared" si="9"/>
        <v>1953.25</v>
      </c>
      <c r="J146" s="14">
        <f t="shared" si="9"/>
        <v>16988</v>
      </c>
      <c r="K146" s="15">
        <f t="shared" si="9"/>
        <v>339044.75</v>
      </c>
      <c r="L146" s="14">
        <f t="shared" si="9"/>
        <v>1571</v>
      </c>
      <c r="M146" s="15">
        <f t="shared" si="9"/>
        <v>37154</v>
      </c>
    </row>
    <row r="147" spans="1:13" ht="12.75" x14ac:dyDescent="0.15">
      <c r="A147" s="13">
        <v>44409</v>
      </c>
      <c r="B147" s="14">
        <f t="shared" si="9"/>
        <v>206067</v>
      </c>
      <c r="C147" s="15">
        <f t="shared" si="9"/>
        <v>772751.25</v>
      </c>
      <c r="D147" s="14">
        <f t="shared" si="9"/>
        <v>2109</v>
      </c>
      <c r="E147" s="15">
        <f t="shared" si="9"/>
        <v>20964</v>
      </c>
      <c r="F147" s="14">
        <f t="shared" si="9"/>
        <v>2160</v>
      </c>
      <c r="G147" s="15">
        <f t="shared" si="9"/>
        <v>30253.5</v>
      </c>
      <c r="H147" s="14">
        <f t="shared" si="9"/>
        <v>165</v>
      </c>
      <c r="I147" s="15">
        <f t="shared" si="9"/>
        <v>2580.25</v>
      </c>
      <c r="J147" s="14">
        <f t="shared" si="9"/>
        <v>17335</v>
      </c>
      <c r="K147" s="15">
        <f t="shared" si="9"/>
        <v>346277.25</v>
      </c>
      <c r="L147" s="14">
        <f t="shared" si="9"/>
        <v>1628</v>
      </c>
      <c r="M147" s="15">
        <f t="shared" si="9"/>
        <v>38484.5</v>
      </c>
    </row>
    <row r="148" spans="1:13" ht="12.75" x14ac:dyDescent="0.15">
      <c r="A148" s="13">
        <v>44440</v>
      </c>
      <c r="B148" s="14">
        <f t="shared" si="9"/>
        <v>214766</v>
      </c>
      <c r="C148" s="15">
        <f t="shared" si="9"/>
        <v>805372.5</v>
      </c>
      <c r="D148" s="14">
        <f t="shared" si="9"/>
        <v>2015</v>
      </c>
      <c r="E148" s="15">
        <f t="shared" si="9"/>
        <v>20017</v>
      </c>
      <c r="F148" s="14">
        <f t="shared" si="9"/>
        <v>2123</v>
      </c>
      <c r="G148" s="15">
        <f t="shared" si="9"/>
        <v>29782.5</v>
      </c>
      <c r="H148" s="14">
        <f t="shared" si="9"/>
        <v>151</v>
      </c>
      <c r="I148" s="15">
        <f t="shared" si="9"/>
        <v>2373.75</v>
      </c>
      <c r="J148" s="14">
        <f t="shared" si="9"/>
        <v>16182</v>
      </c>
      <c r="K148" s="15">
        <f t="shared" si="9"/>
        <v>322300</v>
      </c>
      <c r="L148" s="14">
        <f t="shared" si="9"/>
        <v>1275</v>
      </c>
      <c r="M148" s="15">
        <f t="shared" si="9"/>
        <v>30238.75</v>
      </c>
    </row>
    <row r="149" spans="1:13" ht="13.5" thickBot="1" x14ac:dyDescent="0.2">
      <c r="A149" s="16" t="s">
        <v>45</v>
      </c>
      <c r="B149" s="17">
        <f t="shared" ref="B149:M149" si="10">SUM(B137:B148)</f>
        <v>2306281</v>
      </c>
      <c r="C149" s="18">
        <f t="shared" si="10"/>
        <v>8648553.75</v>
      </c>
      <c r="D149" s="17">
        <f t="shared" si="10"/>
        <v>24156</v>
      </c>
      <c r="E149" s="18">
        <f t="shared" si="10"/>
        <v>240721.5</v>
      </c>
      <c r="F149" s="17">
        <f t="shared" si="10"/>
        <v>30524</v>
      </c>
      <c r="G149" s="18">
        <f t="shared" si="10"/>
        <v>432336</v>
      </c>
      <c r="H149" s="19">
        <f t="shared" si="10"/>
        <v>1248</v>
      </c>
      <c r="I149" s="18">
        <f t="shared" si="10"/>
        <v>19524.25</v>
      </c>
      <c r="J149" s="17">
        <f t="shared" si="10"/>
        <v>199105</v>
      </c>
      <c r="K149" s="18">
        <f t="shared" si="10"/>
        <v>3965164.5</v>
      </c>
      <c r="L149" s="17">
        <f t="shared" si="10"/>
        <v>22191</v>
      </c>
      <c r="M149" s="18">
        <f t="shared" si="10"/>
        <v>530899.75</v>
      </c>
    </row>
    <row r="150" spans="1:13" ht="12.75" thickBo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x14ac:dyDescent="0.15">
      <c r="A151" s="5" t="s">
        <v>3</v>
      </c>
      <c r="B151" s="6" t="s">
        <v>19</v>
      </c>
      <c r="C151" s="6" t="s">
        <v>20</v>
      </c>
      <c r="D151" s="6" t="s">
        <v>21</v>
      </c>
      <c r="E151" s="6" t="s">
        <v>22</v>
      </c>
      <c r="F151" s="6" t="s">
        <v>23</v>
      </c>
      <c r="G151" s="6" t="s">
        <v>24</v>
      </c>
      <c r="H151" s="6" t="s">
        <v>25</v>
      </c>
      <c r="I151" s="6" t="s">
        <v>26</v>
      </c>
      <c r="J151" s="6" t="s">
        <v>27</v>
      </c>
      <c r="K151" s="6" t="s">
        <v>28</v>
      </c>
      <c r="L151" s="6" t="s">
        <v>29</v>
      </c>
      <c r="M151" s="6" t="s">
        <v>29</v>
      </c>
    </row>
    <row r="152" spans="1:13" ht="13.5" thickBot="1" x14ac:dyDescent="0.2">
      <c r="A152" s="8" t="s">
        <v>16</v>
      </c>
      <c r="B152" s="9">
        <v>1</v>
      </c>
      <c r="C152" s="10" t="s">
        <v>17</v>
      </c>
      <c r="D152" s="9" t="s">
        <v>30</v>
      </c>
      <c r="E152" s="10" t="s">
        <v>17</v>
      </c>
      <c r="F152" s="9">
        <v>10</v>
      </c>
      <c r="G152" s="10" t="s">
        <v>17</v>
      </c>
      <c r="H152" s="9">
        <v>1</v>
      </c>
      <c r="I152" s="10" t="s">
        <v>17</v>
      </c>
      <c r="J152" s="10"/>
      <c r="K152" s="10" t="s">
        <v>17</v>
      </c>
      <c r="L152" s="10" t="s">
        <v>31</v>
      </c>
      <c r="M152" s="10" t="s">
        <v>32</v>
      </c>
    </row>
    <row r="153" spans="1:13" ht="12.75" x14ac:dyDescent="0.15">
      <c r="A153" s="13">
        <v>44105</v>
      </c>
      <c r="B153" s="14">
        <f t="shared" ref="B153:M164" si="11">B27+B69+B111</f>
        <v>3633</v>
      </c>
      <c r="C153" s="20">
        <f t="shared" si="11"/>
        <v>3633</v>
      </c>
      <c r="D153" s="14">
        <f t="shared" si="11"/>
        <v>4874</v>
      </c>
      <c r="E153" s="20">
        <f t="shared" si="11"/>
        <v>41861.5</v>
      </c>
      <c r="F153" s="14">
        <f t="shared" si="11"/>
        <v>198</v>
      </c>
      <c r="G153" s="20">
        <f t="shared" si="11"/>
        <v>1980</v>
      </c>
      <c r="H153" s="14">
        <f t="shared" si="11"/>
        <v>77708</v>
      </c>
      <c r="I153" s="20">
        <f t="shared" si="11"/>
        <v>77708</v>
      </c>
      <c r="J153" s="14">
        <f t="shared" si="11"/>
        <v>2799</v>
      </c>
      <c r="K153" s="20">
        <f t="shared" si="11"/>
        <v>12725.869999999999</v>
      </c>
      <c r="L153" s="21">
        <f t="shared" si="11"/>
        <v>291234</v>
      </c>
      <c r="M153" s="22">
        <f t="shared" si="11"/>
        <v>1301273.8700000001</v>
      </c>
    </row>
    <row r="154" spans="1:13" ht="12.75" x14ac:dyDescent="0.15">
      <c r="A154" s="13">
        <v>44136</v>
      </c>
      <c r="B154" s="14">
        <f t="shared" si="11"/>
        <v>3182</v>
      </c>
      <c r="C154" s="20">
        <f t="shared" si="11"/>
        <v>3182</v>
      </c>
      <c r="D154" s="14">
        <f t="shared" si="11"/>
        <v>5815</v>
      </c>
      <c r="E154" s="20">
        <f t="shared" si="11"/>
        <v>49514.75</v>
      </c>
      <c r="F154" s="14">
        <f t="shared" si="11"/>
        <v>207</v>
      </c>
      <c r="G154" s="20">
        <f t="shared" si="11"/>
        <v>2070</v>
      </c>
      <c r="H154" s="14">
        <f t="shared" si="11"/>
        <v>79710</v>
      </c>
      <c r="I154" s="20">
        <f t="shared" si="11"/>
        <v>79710</v>
      </c>
      <c r="J154" s="14">
        <f t="shared" si="11"/>
        <v>3038</v>
      </c>
      <c r="K154" s="20">
        <f t="shared" si="11"/>
        <v>14040.43</v>
      </c>
      <c r="L154" s="21">
        <f t="shared" si="11"/>
        <v>295084</v>
      </c>
      <c r="M154" s="22">
        <f t="shared" si="11"/>
        <v>1285247.68</v>
      </c>
    </row>
    <row r="155" spans="1:13" ht="12.75" x14ac:dyDescent="0.15">
      <c r="A155" s="13">
        <v>44166</v>
      </c>
      <c r="B155" s="14">
        <f t="shared" si="11"/>
        <v>2995</v>
      </c>
      <c r="C155" s="20">
        <f t="shared" si="11"/>
        <v>2995</v>
      </c>
      <c r="D155" s="14">
        <f t="shared" si="11"/>
        <v>5766</v>
      </c>
      <c r="E155" s="20">
        <f t="shared" si="11"/>
        <v>50587.5</v>
      </c>
      <c r="F155" s="14">
        <f t="shared" si="11"/>
        <v>251</v>
      </c>
      <c r="G155" s="20">
        <f t="shared" si="11"/>
        <v>2510</v>
      </c>
      <c r="H155" s="14">
        <f t="shared" si="11"/>
        <v>86891</v>
      </c>
      <c r="I155" s="20">
        <f t="shared" si="11"/>
        <v>86891</v>
      </c>
      <c r="J155" s="14">
        <f t="shared" si="11"/>
        <v>3884</v>
      </c>
      <c r="K155" s="20">
        <f t="shared" si="11"/>
        <v>19186.599999999999</v>
      </c>
      <c r="L155" s="21">
        <f t="shared" si="11"/>
        <v>304639</v>
      </c>
      <c r="M155" s="22">
        <f t="shared" si="11"/>
        <v>1283979.8500000001</v>
      </c>
    </row>
    <row r="156" spans="1:13" ht="12.75" x14ac:dyDescent="0.15">
      <c r="A156" s="13">
        <v>44197</v>
      </c>
      <c r="B156" s="14">
        <f t="shared" si="11"/>
        <v>3049</v>
      </c>
      <c r="C156" s="20">
        <f t="shared" si="11"/>
        <v>3049</v>
      </c>
      <c r="D156" s="14">
        <f t="shared" si="11"/>
        <v>3308</v>
      </c>
      <c r="E156" s="20">
        <f t="shared" si="11"/>
        <v>27285.5</v>
      </c>
      <c r="F156" s="14">
        <f t="shared" si="11"/>
        <v>197</v>
      </c>
      <c r="G156" s="20">
        <f t="shared" si="11"/>
        <v>1970</v>
      </c>
      <c r="H156" s="14">
        <f t="shared" si="11"/>
        <v>79079</v>
      </c>
      <c r="I156" s="20">
        <f t="shared" si="11"/>
        <v>79079</v>
      </c>
      <c r="J156" s="14">
        <f t="shared" si="11"/>
        <v>1725</v>
      </c>
      <c r="K156" s="20">
        <f t="shared" si="11"/>
        <v>8342.42</v>
      </c>
      <c r="L156" s="21">
        <f t="shared" si="11"/>
        <v>274734</v>
      </c>
      <c r="M156" s="22">
        <f t="shared" si="11"/>
        <v>1156095.67</v>
      </c>
    </row>
    <row r="157" spans="1:13" ht="12.75" x14ac:dyDescent="0.15">
      <c r="A157" s="13">
        <v>44228</v>
      </c>
      <c r="B157" s="14">
        <f t="shared" si="11"/>
        <v>2329</v>
      </c>
      <c r="C157" s="20">
        <f t="shared" si="11"/>
        <v>2329</v>
      </c>
      <c r="D157" s="14">
        <f t="shared" si="11"/>
        <v>4157</v>
      </c>
      <c r="E157" s="20">
        <f t="shared" si="11"/>
        <v>35296.75</v>
      </c>
      <c r="F157" s="14">
        <f t="shared" si="11"/>
        <v>167</v>
      </c>
      <c r="G157" s="20">
        <f t="shared" si="11"/>
        <v>1670</v>
      </c>
      <c r="H157" s="14">
        <f t="shared" si="11"/>
        <v>66373</v>
      </c>
      <c r="I157" s="20">
        <f t="shared" si="11"/>
        <v>66373</v>
      </c>
      <c r="J157" s="14">
        <f t="shared" si="11"/>
        <v>2235</v>
      </c>
      <c r="K157" s="20">
        <f t="shared" si="11"/>
        <v>17299.95</v>
      </c>
      <c r="L157" s="21">
        <f t="shared" si="11"/>
        <v>247592</v>
      </c>
      <c r="M157" s="22">
        <f t="shared" si="11"/>
        <v>1074228.7</v>
      </c>
    </row>
    <row r="158" spans="1:13" ht="12.75" x14ac:dyDescent="0.15">
      <c r="A158" s="13">
        <v>44256</v>
      </c>
      <c r="B158" s="14">
        <f t="shared" si="11"/>
        <v>3229</v>
      </c>
      <c r="C158" s="20">
        <f t="shared" si="11"/>
        <v>3229</v>
      </c>
      <c r="D158" s="14">
        <f t="shared" si="11"/>
        <v>5650</v>
      </c>
      <c r="E158" s="20">
        <f t="shared" si="11"/>
        <v>47994.5</v>
      </c>
      <c r="F158" s="14">
        <f t="shared" si="11"/>
        <v>237</v>
      </c>
      <c r="G158" s="20">
        <f t="shared" si="11"/>
        <v>2370</v>
      </c>
      <c r="H158" s="14">
        <f t="shared" si="11"/>
        <v>92350</v>
      </c>
      <c r="I158" s="20">
        <f t="shared" si="11"/>
        <v>92350</v>
      </c>
      <c r="J158" s="14">
        <f t="shared" si="11"/>
        <v>2917</v>
      </c>
      <c r="K158" s="20">
        <f t="shared" si="11"/>
        <v>21295.4</v>
      </c>
      <c r="L158" s="21">
        <f t="shared" si="11"/>
        <v>322623</v>
      </c>
      <c r="M158" s="22">
        <f t="shared" si="11"/>
        <v>1352179.9</v>
      </c>
    </row>
    <row r="159" spans="1:13" ht="12.75" x14ac:dyDescent="0.15">
      <c r="A159" s="13">
        <v>44287</v>
      </c>
      <c r="B159" s="14">
        <f t="shared" si="11"/>
        <v>3035</v>
      </c>
      <c r="C159" s="20">
        <f t="shared" si="11"/>
        <v>3035</v>
      </c>
      <c r="D159" s="14">
        <f t="shared" si="11"/>
        <v>4875</v>
      </c>
      <c r="E159" s="20">
        <f t="shared" si="11"/>
        <v>42194.75</v>
      </c>
      <c r="F159" s="14">
        <f t="shared" si="11"/>
        <v>257</v>
      </c>
      <c r="G159" s="20">
        <f t="shared" si="11"/>
        <v>2570</v>
      </c>
      <c r="H159" s="14">
        <f t="shared" si="11"/>
        <v>94741</v>
      </c>
      <c r="I159" s="20">
        <f t="shared" si="11"/>
        <v>94741</v>
      </c>
      <c r="J159" s="14">
        <f t="shared" si="11"/>
        <v>3202</v>
      </c>
      <c r="K159" s="20">
        <f t="shared" si="11"/>
        <v>24095.960000000003</v>
      </c>
      <c r="L159" s="21">
        <f t="shared" si="11"/>
        <v>327456</v>
      </c>
      <c r="M159" s="22">
        <f t="shared" si="11"/>
        <v>1320995.21</v>
      </c>
    </row>
    <row r="160" spans="1:13" ht="12.75" x14ac:dyDescent="0.15">
      <c r="A160" s="13">
        <v>44317</v>
      </c>
      <c r="B160" s="14">
        <f t="shared" si="11"/>
        <v>2983</v>
      </c>
      <c r="C160" s="20">
        <f t="shared" si="11"/>
        <v>2983</v>
      </c>
      <c r="D160" s="14">
        <f t="shared" si="11"/>
        <v>5038</v>
      </c>
      <c r="E160" s="20">
        <f t="shared" si="11"/>
        <v>43013.5</v>
      </c>
      <c r="F160" s="14">
        <f t="shared" si="11"/>
        <v>270</v>
      </c>
      <c r="G160" s="20">
        <f t="shared" si="11"/>
        <v>2700</v>
      </c>
      <c r="H160" s="14">
        <f t="shared" si="11"/>
        <v>100948</v>
      </c>
      <c r="I160" s="20">
        <f t="shared" si="11"/>
        <v>100948</v>
      </c>
      <c r="J160" s="14">
        <f t="shared" si="11"/>
        <v>2961</v>
      </c>
      <c r="K160" s="20">
        <f t="shared" si="11"/>
        <v>25169.91</v>
      </c>
      <c r="L160" s="21">
        <f t="shared" si="11"/>
        <v>350955</v>
      </c>
      <c r="M160" s="22">
        <f t="shared" si="11"/>
        <v>1396610.41</v>
      </c>
    </row>
    <row r="161" spans="1:13" ht="12.75" x14ac:dyDescent="0.15">
      <c r="A161" s="13">
        <v>44348</v>
      </c>
      <c r="B161" s="14">
        <f t="shared" si="11"/>
        <v>2781</v>
      </c>
      <c r="C161" s="20">
        <f t="shared" si="11"/>
        <v>2781</v>
      </c>
      <c r="D161" s="14">
        <f t="shared" si="11"/>
        <v>5602</v>
      </c>
      <c r="E161" s="20">
        <f t="shared" si="11"/>
        <v>48242</v>
      </c>
      <c r="F161" s="14">
        <f t="shared" si="11"/>
        <v>256</v>
      </c>
      <c r="G161" s="20">
        <f t="shared" si="11"/>
        <v>2560</v>
      </c>
      <c r="H161" s="14">
        <f t="shared" si="11"/>
        <v>75108</v>
      </c>
      <c r="I161" s="20">
        <f t="shared" si="11"/>
        <v>75108</v>
      </c>
      <c r="J161" s="14">
        <f t="shared" si="11"/>
        <v>3288</v>
      </c>
      <c r="K161" s="20">
        <f t="shared" si="11"/>
        <v>25739.22</v>
      </c>
      <c r="L161" s="21">
        <f t="shared" si="11"/>
        <v>324283</v>
      </c>
      <c r="M161" s="22">
        <f t="shared" si="11"/>
        <v>1385244.47</v>
      </c>
    </row>
    <row r="162" spans="1:13" ht="12.75" x14ac:dyDescent="0.15">
      <c r="A162" s="13">
        <v>44378</v>
      </c>
      <c r="B162" s="14">
        <f t="shared" si="11"/>
        <v>2290</v>
      </c>
      <c r="C162" s="20">
        <f t="shared" si="11"/>
        <v>2290</v>
      </c>
      <c r="D162" s="14">
        <f t="shared" si="11"/>
        <v>5182</v>
      </c>
      <c r="E162" s="20">
        <f t="shared" si="11"/>
        <v>44255.5</v>
      </c>
      <c r="F162" s="14">
        <f t="shared" si="11"/>
        <v>271</v>
      </c>
      <c r="G162" s="20">
        <f t="shared" si="11"/>
        <v>2710</v>
      </c>
      <c r="H162" s="14">
        <f t="shared" si="11"/>
        <v>55046</v>
      </c>
      <c r="I162" s="20">
        <f t="shared" si="11"/>
        <v>55046</v>
      </c>
      <c r="J162" s="14">
        <f t="shared" si="11"/>
        <v>3229</v>
      </c>
      <c r="K162" s="20">
        <f t="shared" si="11"/>
        <v>22411.34</v>
      </c>
      <c r="L162" s="21">
        <f t="shared" si="11"/>
        <v>298245</v>
      </c>
      <c r="M162" s="22">
        <f t="shared" si="11"/>
        <v>1341072.0899999999</v>
      </c>
    </row>
    <row r="163" spans="1:13" ht="12.75" x14ac:dyDescent="0.15">
      <c r="A163" s="13">
        <v>44409</v>
      </c>
      <c r="B163" s="14">
        <f t="shared" si="11"/>
        <v>2649</v>
      </c>
      <c r="C163" s="20">
        <f t="shared" si="11"/>
        <v>2649</v>
      </c>
      <c r="D163" s="14">
        <f t="shared" si="11"/>
        <v>4990</v>
      </c>
      <c r="E163" s="20">
        <f t="shared" si="11"/>
        <v>42995</v>
      </c>
      <c r="F163" s="14">
        <f t="shared" si="11"/>
        <v>276</v>
      </c>
      <c r="G163" s="20">
        <f t="shared" si="11"/>
        <v>2760</v>
      </c>
      <c r="H163" s="14">
        <f t="shared" si="11"/>
        <v>66950</v>
      </c>
      <c r="I163" s="20">
        <f t="shared" si="11"/>
        <v>66950</v>
      </c>
      <c r="J163" s="14">
        <f t="shared" si="11"/>
        <v>3122</v>
      </c>
      <c r="K163" s="20">
        <f t="shared" si="11"/>
        <v>21988.9</v>
      </c>
      <c r="L163" s="21">
        <f t="shared" si="11"/>
        <v>307451</v>
      </c>
      <c r="M163" s="22">
        <f t="shared" si="11"/>
        <v>1348653.65</v>
      </c>
    </row>
    <row r="164" spans="1:13" ht="12.75" x14ac:dyDescent="0.15">
      <c r="A164" s="13">
        <v>44440</v>
      </c>
      <c r="B164" s="14">
        <f t="shared" si="11"/>
        <v>2493</v>
      </c>
      <c r="C164" s="20">
        <f t="shared" si="11"/>
        <v>2493</v>
      </c>
      <c r="D164" s="14">
        <f t="shared" si="11"/>
        <v>4923</v>
      </c>
      <c r="E164" s="20">
        <f t="shared" si="11"/>
        <v>42206.25</v>
      </c>
      <c r="F164" s="14">
        <f t="shared" si="11"/>
        <v>252</v>
      </c>
      <c r="G164" s="20">
        <f t="shared" si="11"/>
        <v>2520</v>
      </c>
      <c r="H164" s="14">
        <f t="shared" si="11"/>
        <v>69953</v>
      </c>
      <c r="I164" s="20">
        <f t="shared" si="11"/>
        <v>69953</v>
      </c>
      <c r="J164" s="14">
        <f t="shared" si="11"/>
        <v>2963</v>
      </c>
      <c r="K164" s="20">
        <f t="shared" si="11"/>
        <v>22542.440000000002</v>
      </c>
      <c r="L164" s="21">
        <f t="shared" si="11"/>
        <v>317096</v>
      </c>
      <c r="M164" s="22">
        <f t="shared" si="11"/>
        <v>1349799.19</v>
      </c>
    </row>
    <row r="165" spans="1:13" ht="13.5" thickBot="1" x14ac:dyDescent="0.2">
      <c r="A165" s="16" t="s">
        <v>45</v>
      </c>
      <c r="B165" s="17">
        <f t="shared" ref="B165:M165" si="12">SUM(B153:B164)</f>
        <v>34648</v>
      </c>
      <c r="C165" s="23">
        <f t="shared" si="12"/>
        <v>34648</v>
      </c>
      <c r="D165" s="17">
        <f t="shared" si="12"/>
        <v>60180</v>
      </c>
      <c r="E165" s="23">
        <f t="shared" si="12"/>
        <v>515447.5</v>
      </c>
      <c r="F165" s="17">
        <f t="shared" si="12"/>
        <v>2839</v>
      </c>
      <c r="G165" s="23">
        <f t="shared" si="12"/>
        <v>28390</v>
      </c>
      <c r="H165" s="17">
        <f t="shared" si="12"/>
        <v>944857</v>
      </c>
      <c r="I165" s="23">
        <f t="shared" si="12"/>
        <v>944857</v>
      </c>
      <c r="J165" s="17">
        <f t="shared" si="12"/>
        <v>35363</v>
      </c>
      <c r="K165" s="23">
        <f t="shared" si="12"/>
        <v>234838.43999999997</v>
      </c>
      <c r="L165" s="24">
        <f t="shared" si="12"/>
        <v>3661392</v>
      </c>
      <c r="M165" s="25">
        <f t="shared" si="12"/>
        <v>15595380.689999999</v>
      </c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customHeight="1" x14ac:dyDescent="0.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x14ac:dyDescent="0.15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x14ac:dyDescent="0.15">
      <c r="A169" s="3" t="s">
        <v>33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</sheetData>
  <mergeCells count="12">
    <mergeCell ref="A167:M167"/>
    <mergeCell ref="A2:M2"/>
    <mergeCell ref="A3:M3"/>
    <mergeCell ref="A41:M41"/>
    <mergeCell ref="A44:M44"/>
    <mergeCell ref="A45:M45"/>
    <mergeCell ref="A83:M83"/>
    <mergeCell ref="A86:M86"/>
    <mergeCell ref="A87:M87"/>
    <mergeCell ref="A125:M125"/>
    <mergeCell ref="A128:M128"/>
    <mergeCell ref="A129:M129"/>
  </mergeCells>
  <printOptions horizontalCentered="1"/>
  <pageMargins left="0.25" right="0" top="0.66" bottom="0.23" header="0.28000000000000003" footer="0.25"/>
  <pageSetup scale="85" orientation="landscape" r:id="rId1"/>
  <headerFooter alignWithMargins="0"/>
  <rowBreaks count="3" manualBreakCount="3">
    <brk id="43" max="12" man="1"/>
    <brk id="85" max="12" man="1"/>
    <brk id="127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27A5-C010-4EDC-ADCD-50545E5A08DF}">
  <sheetPr codeName="Sheet35"/>
  <dimension ref="A1:M169"/>
  <sheetViews>
    <sheetView tabSelected="1" topLeftCell="A109" zoomScaleNormal="100" workbookViewId="0"/>
  </sheetViews>
  <sheetFormatPr defaultRowHeight="12" x14ac:dyDescent="0.15"/>
  <cols>
    <col min="1" max="1" width="8" customWidth="1"/>
    <col min="2" max="2" width="12.5" bestFit="1" customWidth="1"/>
    <col min="3" max="3" width="14.125" customWidth="1"/>
    <col min="4" max="4" width="10.25" bestFit="1" customWidth="1"/>
    <col min="5" max="5" width="11.375" customWidth="1"/>
    <col min="6" max="6" width="9.75" customWidth="1"/>
    <col min="7" max="7" width="13.375" customWidth="1"/>
    <col min="8" max="8" width="9.75" customWidth="1"/>
    <col min="9" max="9" width="14" customWidth="1"/>
    <col min="10" max="10" width="8.75" bestFit="1" customWidth="1"/>
    <col min="11" max="11" width="13.375" customWidth="1"/>
    <col min="12" max="12" width="10.5" customWidth="1"/>
    <col min="13" max="13" width="15.625" customWidth="1"/>
  </cols>
  <sheetData>
    <row r="1" spans="1:13" s="1" customFormat="1" ht="17.25" customHeight="1" x14ac:dyDescent="0.15"/>
    <row r="2" spans="1:13" s="1" customFormat="1" ht="17.2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" customFormat="1" ht="17.25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17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1" customFormat="1" ht="17.25" customHeight="1" x14ac:dyDescent="0.15"/>
    <row r="6" spans="1:13" s="1" customFormat="1" ht="17.25" customHeight="1" x14ac:dyDescent="0.15"/>
    <row r="7" spans="1:13" s="1" customFormat="1" ht="13.5" customHeight="1" x14ac:dyDescent="0.15">
      <c r="A7" s="3" t="s">
        <v>47</v>
      </c>
      <c r="B7" s="4"/>
      <c r="C7" s="4"/>
      <c r="D7" s="4"/>
      <c r="E7" s="3"/>
      <c r="F7" s="4"/>
      <c r="G7" s="4"/>
      <c r="H7" s="4"/>
      <c r="I7" s="4"/>
      <c r="L7" s="4"/>
      <c r="M7" s="4"/>
    </row>
    <row r="8" spans="1:13" s="1" customFormat="1" ht="13.5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1" customFormat="1" ht="12.75" x14ac:dyDescent="0.15">
      <c r="A9" s="5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7" t="s">
        <v>9</v>
      </c>
      <c r="H9" s="6" t="s">
        <v>10</v>
      </c>
      <c r="I9" s="7" t="s">
        <v>11</v>
      </c>
      <c r="J9" s="6" t="s">
        <v>12</v>
      </c>
      <c r="K9" s="7" t="s">
        <v>13</v>
      </c>
      <c r="L9" s="5" t="s">
        <v>14</v>
      </c>
      <c r="M9" s="6" t="s">
        <v>15</v>
      </c>
    </row>
    <row r="10" spans="1:13" s="1" customFormat="1" ht="13.5" thickBot="1" x14ac:dyDescent="0.2">
      <c r="A10" s="8" t="s">
        <v>16</v>
      </c>
      <c r="B10" s="9">
        <v>3.75</v>
      </c>
      <c r="C10" s="10" t="s">
        <v>17</v>
      </c>
      <c r="D10" s="9" t="s">
        <v>38</v>
      </c>
      <c r="E10" s="10" t="s">
        <v>17</v>
      </c>
      <c r="F10" s="9" t="s">
        <v>39</v>
      </c>
      <c r="G10" s="11" t="s">
        <v>17</v>
      </c>
      <c r="H10" s="27" t="s">
        <v>40</v>
      </c>
      <c r="I10" s="11" t="s">
        <v>17</v>
      </c>
      <c r="J10" s="9" t="s">
        <v>41</v>
      </c>
      <c r="K10" s="11" t="s">
        <v>17</v>
      </c>
      <c r="L10" s="12" t="s">
        <v>42</v>
      </c>
      <c r="M10" s="10" t="s">
        <v>17</v>
      </c>
    </row>
    <row r="11" spans="1:13" s="1" customFormat="1" ht="12.75" x14ac:dyDescent="0.15">
      <c r="A11" s="13">
        <v>44470</v>
      </c>
      <c r="B11" s="14">
        <v>92049</v>
      </c>
      <c r="C11" s="15">
        <f>SUM(B11*B10)</f>
        <v>345183.75</v>
      </c>
      <c r="D11" s="14">
        <v>0</v>
      </c>
      <c r="E11" s="15">
        <v>0</v>
      </c>
      <c r="F11" s="14">
        <v>0</v>
      </c>
      <c r="G11" s="15">
        <v>0</v>
      </c>
      <c r="H11" s="14">
        <v>0</v>
      </c>
      <c r="I11" s="15">
        <v>0</v>
      </c>
      <c r="J11" s="14">
        <v>0</v>
      </c>
      <c r="K11" s="15">
        <v>0</v>
      </c>
      <c r="L11" s="14">
        <v>0</v>
      </c>
      <c r="M11" s="15">
        <v>0</v>
      </c>
    </row>
    <row r="12" spans="1:13" s="1" customFormat="1" ht="12.75" x14ac:dyDescent="0.15">
      <c r="A12" s="13">
        <v>44501</v>
      </c>
      <c r="B12" s="14">
        <v>97469</v>
      </c>
      <c r="C12" s="15">
        <f>SUM(B12*B10)</f>
        <v>365508.75</v>
      </c>
      <c r="D12" s="14">
        <v>0</v>
      </c>
      <c r="E12" s="15">
        <v>0</v>
      </c>
      <c r="F12" s="14">
        <v>0</v>
      </c>
      <c r="G12" s="15">
        <v>0</v>
      </c>
      <c r="H12" s="14">
        <v>0</v>
      </c>
      <c r="I12" s="15">
        <v>0</v>
      </c>
      <c r="J12" s="14">
        <v>0</v>
      </c>
      <c r="K12" s="15">
        <v>0</v>
      </c>
      <c r="L12" s="14">
        <v>0</v>
      </c>
      <c r="M12" s="15">
        <v>0</v>
      </c>
    </row>
    <row r="13" spans="1:13" s="1" customFormat="1" ht="12.75" x14ac:dyDescent="0.15">
      <c r="A13" s="13">
        <v>44531</v>
      </c>
      <c r="B13" s="14">
        <v>111092</v>
      </c>
      <c r="C13" s="15">
        <f>SUM(B13*B10)</f>
        <v>416595</v>
      </c>
      <c r="D13" s="14">
        <v>0</v>
      </c>
      <c r="E13" s="15">
        <v>0</v>
      </c>
      <c r="F13" s="14">
        <v>0</v>
      </c>
      <c r="G13" s="15">
        <v>0</v>
      </c>
      <c r="H13" s="14">
        <v>0</v>
      </c>
      <c r="I13" s="15">
        <v>0</v>
      </c>
      <c r="J13" s="14">
        <v>0</v>
      </c>
      <c r="K13" s="15">
        <v>0</v>
      </c>
      <c r="L13" s="14">
        <v>0</v>
      </c>
      <c r="M13" s="15">
        <v>0</v>
      </c>
    </row>
    <row r="14" spans="1:13" s="1" customFormat="1" ht="12.75" x14ac:dyDescent="0.15">
      <c r="A14" s="13">
        <v>44562</v>
      </c>
      <c r="B14" s="14">
        <v>89387</v>
      </c>
      <c r="C14" s="15">
        <f>SUM(B14*B10)</f>
        <v>335201.25</v>
      </c>
      <c r="D14" s="14">
        <v>0</v>
      </c>
      <c r="E14" s="15">
        <v>0</v>
      </c>
      <c r="F14" s="14">
        <v>0</v>
      </c>
      <c r="G14" s="15">
        <v>0</v>
      </c>
      <c r="H14" s="14">
        <v>0</v>
      </c>
      <c r="I14" s="15">
        <v>0</v>
      </c>
      <c r="J14" s="14">
        <v>0</v>
      </c>
      <c r="K14" s="15">
        <v>0</v>
      </c>
      <c r="L14" s="14">
        <v>0</v>
      </c>
      <c r="M14" s="15">
        <v>0</v>
      </c>
    </row>
    <row r="15" spans="1:13" s="1" customFormat="1" ht="12.75" x14ac:dyDescent="0.15">
      <c r="A15" s="13">
        <v>44593</v>
      </c>
      <c r="B15" s="14">
        <v>86404</v>
      </c>
      <c r="C15" s="15">
        <f>SUM(B15*B10)</f>
        <v>324015</v>
      </c>
      <c r="D15" s="14">
        <v>0</v>
      </c>
      <c r="E15" s="15">
        <v>0</v>
      </c>
      <c r="F15" s="14">
        <v>0</v>
      </c>
      <c r="G15" s="15">
        <v>0</v>
      </c>
      <c r="H15" s="14">
        <v>0</v>
      </c>
      <c r="I15" s="15">
        <v>0</v>
      </c>
      <c r="J15" s="14">
        <v>0</v>
      </c>
      <c r="K15" s="15">
        <v>0</v>
      </c>
      <c r="L15" s="14">
        <v>0</v>
      </c>
      <c r="M15" s="15">
        <v>0</v>
      </c>
    </row>
    <row r="16" spans="1:13" s="1" customFormat="1" ht="12.75" x14ac:dyDescent="0.15">
      <c r="A16" s="13">
        <v>44621</v>
      </c>
      <c r="B16" s="14">
        <v>0</v>
      </c>
      <c r="C16" s="15">
        <f>SUM(B16*B10)</f>
        <v>0</v>
      </c>
      <c r="D16" s="14">
        <v>0</v>
      </c>
      <c r="E16" s="15">
        <v>0</v>
      </c>
      <c r="F16" s="14">
        <v>0</v>
      </c>
      <c r="G16" s="15">
        <v>0</v>
      </c>
      <c r="H16" s="14">
        <v>0</v>
      </c>
      <c r="I16" s="15">
        <v>0</v>
      </c>
      <c r="J16" s="14">
        <v>0</v>
      </c>
      <c r="K16" s="15">
        <v>0</v>
      </c>
      <c r="L16" s="14">
        <v>0</v>
      </c>
      <c r="M16" s="15">
        <v>0</v>
      </c>
    </row>
    <row r="17" spans="1:13" s="1" customFormat="1" ht="12.75" x14ac:dyDescent="0.15">
      <c r="A17" s="13">
        <v>44652</v>
      </c>
      <c r="B17" s="14">
        <v>0</v>
      </c>
      <c r="C17" s="15">
        <f>SUM(B17*B10)</f>
        <v>0</v>
      </c>
      <c r="D17" s="14">
        <v>0</v>
      </c>
      <c r="E17" s="15">
        <v>0</v>
      </c>
      <c r="F17" s="14">
        <v>0</v>
      </c>
      <c r="G17" s="15">
        <v>0</v>
      </c>
      <c r="H17" s="14">
        <v>0</v>
      </c>
      <c r="I17" s="15">
        <v>0</v>
      </c>
      <c r="J17" s="14">
        <v>0</v>
      </c>
      <c r="K17" s="15">
        <v>0</v>
      </c>
      <c r="L17" s="14">
        <v>0</v>
      </c>
      <c r="M17" s="15">
        <v>0</v>
      </c>
    </row>
    <row r="18" spans="1:13" s="1" customFormat="1" ht="12.75" x14ac:dyDescent="0.15">
      <c r="A18" s="13">
        <v>44682</v>
      </c>
      <c r="B18" s="14">
        <v>0</v>
      </c>
      <c r="C18" s="15">
        <f>SUM(B18*B10)</f>
        <v>0</v>
      </c>
      <c r="D18" s="14">
        <v>0</v>
      </c>
      <c r="E18" s="15">
        <v>0</v>
      </c>
      <c r="F18" s="14">
        <v>0</v>
      </c>
      <c r="G18" s="15">
        <v>0</v>
      </c>
      <c r="H18" s="14">
        <v>0</v>
      </c>
      <c r="I18" s="15">
        <v>0</v>
      </c>
      <c r="J18" s="14">
        <v>0</v>
      </c>
      <c r="K18" s="15">
        <v>0</v>
      </c>
      <c r="L18" s="14">
        <v>0</v>
      </c>
      <c r="M18" s="15">
        <v>0</v>
      </c>
    </row>
    <row r="19" spans="1:13" s="1" customFormat="1" ht="12.75" x14ac:dyDescent="0.15">
      <c r="A19" s="13">
        <v>44713</v>
      </c>
      <c r="B19" s="14">
        <v>0</v>
      </c>
      <c r="C19" s="15">
        <f>SUM(B19*B10)</f>
        <v>0</v>
      </c>
      <c r="D19" s="14">
        <v>0</v>
      </c>
      <c r="E19" s="15">
        <v>0</v>
      </c>
      <c r="F19" s="14">
        <v>0</v>
      </c>
      <c r="G19" s="15">
        <v>0</v>
      </c>
      <c r="H19" s="14">
        <v>0</v>
      </c>
      <c r="I19" s="15">
        <v>0</v>
      </c>
      <c r="J19" s="14">
        <v>0</v>
      </c>
      <c r="K19" s="15">
        <v>0</v>
      </c>
      <c r="L19" s="14">
        <v>0</v>
      </c>
      <c r="M19" s="15">
        <v>0</v>
      </c>
    </row>
    <row r="20" spans="1:13" s="1" customFormat="1" ht="12.75" x14ac:dyDescent="0.15">
      <c r="A20" s="13">
        <v>44743</v>
      </c>
      <c r="B20" s="14">
        <v>0</v>
      </c>
      <c r="C20" s="15">
        <f>SUM(B20*B10)</f>
        <v>0</v>
      </c>
      <c r="D20" s="14">
        <v>0</v>
      </c>
      <c r="E20" s="15">
        <v>0</v>
      </c>
      <c r="F20" s="14">
        <v>0</v>
      </c>
      <c r="G20" s="15">
        <v>0</v>
      </c>
      <c r="H20" s="14">
        <v>0</v>
      </c>
      <c r="I20" s="15">
        <v>0</v>
      </c>
      <c r="J20" s="14">
        <v>0</v>
      </c>
      <c r="K20" s="15">
        <v>0</v>
      </c>
      <c r="L20" s="14">
        <v>0</v>
      </c>
      <c r="M20" s="15">
        <v>0</v>
      </c>
    </row>
    <row r="21" spans="1:13" s="1" customFormat="1" ht="12.75" x14ac:dyDescent="0.15">
      <c r="A21" s="13">
        <v>44774</v>
      </c>
      <c r="B21" s="14">
        <v>0</v>
      </c>
      <c r="C21" s="15">
        <f>SUM(B21*B10)</f>
        <v>0</v>
      </c>
      <c r="D21" s="14">
        <v>0</v>
      </c>
      <c r="E21" s="15">
        <v>0</v>
      </c>
      <c r="F21" s="14">
        <v>0</v>
      </c>
      <c r="G21" s="15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15">
        <v>0</v>
      </c>
    </row>
    <row r="22" spans="1:13" s="1" customFormat="1" ht="12.75" x14ac:dyDescent="0.15">
      <c r="A22" s="13">
        <v>44805</v>
      </c>
      <c r="B22" s="14">
        <v>0</v>
      </c>
      <c r="C22" s="15">
        <f>SUM(B22*B10)</f>
        <v>0</v>
      </c>
      <c r="D22" s="14">
        <v>0</v>
      </c>
      <c r="E22" s="15">
        <v>0</v>
      </c>
      <c r="F22" s="14">
        <v>0</v>
      </c>
      <c r="G22" s="15">
        <v>0</v>
      </c>
      <c r="H22" s="14">
        <v>0</v>
      </c>
      <c r="I22" s="15">
        <v>0</v>
      </c>
      <c r="J22" s="14">
        <v>0</v>
      </c>
      <c r="K22" s="15">
        <v>0</v>
      </c>
      <c r="L22" s="14">
        <v>0</v>
      </c>
      <c r="M22" s="15">
        <v>0</v>
      </c>
    </row>
    <row r="23" spans="1:13" s="1" customFormat="1" ht="13.5" thickBot="1" x14ac:dyDescent="0.2">
      <c r="A23" s="16" t="s">
        <v>46</v>
      </c>
      <c r="B23" s="17">
        <f>SUM(B11:B22)</f>
        <v>476401</v>
      </c>
      <c r="C23" s="18">
        <f>SUM(C11:C22)</f>
        <v>1786503.75</v>
      </c>
      <c r="D23" s="17">
        <f>SUM(D11:D22)</f>
        <v>0</v>
      </c>
      <c r="E23" s="18">
        <v>0</v>
      </c>
      <c r="F23" s="19">
        <f t="shared" ref="F23:M23" si="0">SUM(F11:F22)</f>
        <v>0</v>
      </c>
      <c r="G23" s="18">
        <f t="shared" si="0"/>
        <v>0</v>
      </c>
      <c r="H23" s="19">
        <f t="shared" si="0"/>
        <v>0</v>
      </c>
      <c r="I23" s="18">
        <f t="shared" si="0"/>
        <v>0</v>
      </c>
      <c r="J23" s="19">
        <f t="shared" si="0"/>
        <v>0</v>
      </c>
      <c r="K23" s="18">
        <f t="shared" si="0"/>
        <v>0</v>
      </c>
      <c r="L23" s="19">
        <f t="shared" si="0"/>
        <v>0</v>
      </c>
      <c r="M23" s="18">
        <f t="shared" si="0"/>
        <v>0</v>
      </c>
    </row>
    <row r="24" spans="1:13" s="1" customFormat="1" ht="12.75" thickBot="1" x14ac:dyDescent="0.2"/>
    <row r="25" spans="1:13" s="1" customFormat="1" ht="12.75" x14ac:dyDescent="0.15">
      <c r="A25" s="5" t="s">
        <v>3</v>
      </c>
      <c r="B25" s="6" t="s">
        <v>19</v>
      </c>
      <c r="C25" s="6" t="s">
        <v>20</v>
      </c>
      <c r="D25" s="6" t="s">
        <v>21</v>
      </c>
      <c r="E25" s="6" t="s">
        <v>22</v>
      </c>
      <c r="F25" s="6" t="s">
        <v>23</v>
      </c>
      <c r="G25" s="6" t="s">
        <v>24</v>
      </c>
      <c r="H25" s="6" t="s">
        <v>25</v>
      </c>
      <c r="I25" s="6" t="s">
        <v>26</v>
      </c>
      <c r="J25" s="6" t="s">
        <v>27</v>
      </c>
      <c r="K25" s="6" t="s">
        <v>28</v>
      </c>
      <c r="L25" s="6" t="s">
        <v>29</v>
      </c>
      <c r="M25" s="6" t="s">
        <v>29</v>
      </c>
    </row>
    <row r="26" spans="1:13" s="1" customFormat="1" ht="13.5" thickBot="1" x14ac:dyDescent="0.2">
      <c r="A26" s="8" t="s">
        <v>16</v>
      </c>
      <c r="B26" s="9">
        <v>1</v>
      </c>
      <c r="C26" s="10" t="s">
        <v>17</v>
      </c>
      <c r="D26" s="9" t="s">
        <v>30</v>
      </c>
      <c r="E26" s="10" t="s">
        <v>17</v>
      </c>
      <c r="F26" s="9">
        <v>10</v>
      </c>
      <c r="G26" s="10" t="s">
        <v>17</v>
      </c>
      <c r="H26" s="9">
        <v>1</v>
      </c>
      <c r="I26" s="10" t="s">
        <v>17</v>
      </c>
      <c r="J26" s="10"/>
      <c r="K26" s="10" t="s">
        <v>17</v>
      </c>
      <c r="L26" s="10" t="s">
        <v>31</v>
      </c>
      <c r="M26" s="10" t="s">
        <v>32</v>
      </c>
    </row>
    <row r="27" spans="1:13" s="1" customFormat="1" ht="12.75" x14ac:dyDescent="0.15">
      <c r="A27" s="13">
        <v>44470</v>
      </c>
      <c r="B27" s="14">
        <v>1671</v>
      </c>
      <c r="C27" s="20">
        <f>SUM(B27*B26)</f>
        <v>1671</v>
      </c>
      <c r="D27" s="14">
        <v>0</v>
      </c>
      <c r="E27" s="20">
        <v>0</v>
      </c>
      <c r="F27" s="14">
        <v>254</v>
      </c>
      <c r="G27" s="20">
        <f>F26*F27</f>
        <v>2540</v>
      </c>
      <c r="H27" s="14">
        <v>74128</v>
      </c>
      <c r="I27" s="20">
        <f>SUM(H27*H26)</f>
        <v>74128</v>
      </c>
      <c r="J27" s="14">
        <f>158+254</f>
        <v>412</v>
      </c>
      <c r="K27" s="20">
        <f>474+889+4598.75+10</f>
        <v>5971.75</v>
      </c>
      <c r="L27" s="21">
        <f t="shared" ref="L27:L38" si="1">B11+D11+F11+H11+J11+L11+B27+D27+F27+H27+J27</f>
        <v>168514</v>
      </c>
      <c r="M27" s="22">
        <f t="shared" ref="M27:M38" si="2">C11+E11+G11+I11+K11+M11+C27+E27+G27+I27+K27</f>
        <v>429494.5</v>
      </c>
    </row>
    <row r="28" spans="1:13" s="1" customFormat="1" ht="12.75" x14ac:dyDescent="0.15">
      <c r="A28" s="13">
        <v>44501</v>
      </c>
      <c r="B28" s="14">
        <v>1511</v>
      </c>
      <c r="C28" s="20">
        <f>SUM(B28*B26)</f>
        <v>1511</v>
      </c>
      <c r="D28" s="14">
        <v>0</v>
      </c>
      <c r="E28" s="20">
        <v>0</v>
      </c>
      <c r="F28" s="14">
        <v>255</v>
      </c>
      <c r="G28" s="20">
        <f>F26*F28</f>
        <v>2550</v>
      </c>
      <c r="H28" s="14">
        <v>97568</v>
      </c>
      <c r="I28" s="20">
        <f>SUM(H28*H26)</f>
        <v>97568</v>
      </c>
      <c r="J28" s="14">
        <f>173+254</f>
        <v>427</v>
      </c>
      <c r="K28" s="20">
        <f>519+889+6179.42+11.54</f>
        <v>7598.96</v>
      </c>
      <c r="L28" s="21">
        <f t="shared" si="1"/>
        <v>197230</v>
      </c>
      <c r="M28" s="22">
        <f t="shared" si="2"/>
        <v>474736.71</v>
      </c>
    </row>
    <row r="29" spans="1:13" s="1" customFormat="1" ht="12.75" x14ac:dyDescent="0.15">
      <c r="A29" s="13">
        <v>44531</v>
      </c>
      <c r="B29" s="14">
        <v>1488</v>
      </c>
      <c r="C29" s="20">
        <f>SUM(B29*B26)</f>
        <v>1488</v>
      </c>
      <c r="D29" s="14">
        <v>0</v>
      </c>
      <c r="E29" s="20">
        <v>0</v>
      </c>
      <c r="F29" s="14">
        <v>275</v>
      </c>
      <c r="G29" s="20">
        <f>F26*F29</f>
        <v>2750</v>
      </c>
      <c r="H29" s="14">
        <v>113706</v>
      </c>
      <c r="I29" s="20">
        <f>SUM(H29*H26)</f>
        <v>113706</v>
      </c>
      <c r="J29" s="14">
        <f>409+274</f>
        <v>683</v>
      </c>
      <c r="K29" s="20">
        <f>1227+959+7133.2</f>
        <v>9319.2000000000007</v>
      </c>
      <c r="L29" s="21">
        <f t="shared" si="1"/>
        <v>227244</v>
      </c>
      <c r="M29" s="22">
        <f t="shared" si="2"/>
        <v>543858.19999999995</v>
      </c>
    </row>
    <row r="30" spans="1:13" s="1" customFormat="1" ht="12.75" x14ac:dyDescent="0.15">
      <c r="A30" s="13">
        <v>44562</v>
      </c>
      <c r="B30" s="14">
        <v>1089</v>
      </c>
      <c r="C30" s="20">
        <f>SUM(B30*B26)</f>
        <v>1089</v>
      </c>
      <c r="D30" s="14">
        <v>0</v>
      </c>
      <c r="E30" s="20">
        <v>0</v>
      </c>
      <c r="F30" s="14">
        <v>261</v>
      </c>
      <c r="G30" s="20">
        <f>F26*F30</f>
        <v>2610</v>
      </c>
      <c r="H30" s="14">
        <v>87583</v>
      </c>
      <c r="I30" s="20">
        <f>SUM(H30*H26)</f>
        <v>87583</v>
      </c>
      <c r="J30" s="14">
        <f>160+259</f>
        <v>419</v>
      </c>
      <c r="K30" s="20">
        <f>480+906.5+5874.52+11.19</f>
        <v>7272.21</v>
      </c>
      <c r="L30" s="21">
        <f t="shared" si="1"/>
        <v>178739</v>
      </c>
      <c r="M30" s="22">
        <f t="shared" si="2"/>
        <v>433755.46</v>
      </c>
    </row>
    <row r="31" spans="1:13" s="1" customFormat="1" ht="12.75" x14ac:dyDescent="0.15">
      <c r="A31" s="13">
        <v>44593</v>
      </c>
      <c r="B31" s="14">
        <v>1118</v>
      </c>
      <c r="C31" s="20">
        <f>SUM(B31*B26)</f>
        <v>1118</v>
      </c>
      <c r="D31" s="14">
        <v>0</v>
      </c>
      <c r="E31" s="20">
        <v>0</v>
      </c>
      <c r="F31" s="14">
        <v>222</v>
      </c>
      <c r="G31" s="20">
        <f>F26*F31</f>
        <v>2220</v>
      </c>
      <c r="H31" s="14">
        <v>91121</v>
      </c>
      <c r="I31" s="20">
        <f>SUM(H31*H26)</f>
        <v>91121</v>
      </c>
      <c r="J31" s="14">
        <f>91+222</f>
        <v>313</v>
      </c>
      <c r="K31" s="20">
        <f>273+777+5947.31+5</f>
        <v>7002.31</v>
      </c>
      <c r="L31" s="21">
        <f t="shared" si="1"/>
        <v>179178</v>
      </c>
      <c r="M31" s="22">
        <f t="shared" si="2"/>
        <v>425476.31</v>
      </c>
    </row>
    <row r="32" spans="1:13" s="1" customFormat="1" ht="12.75" x14ac:dyDescent="0.15">
      <c r="A32" s="13">
        <v>44621</v>
      </c>
      <c r="B32" s="14">
        <v>0</v>
      </c>
      <c r="C32" s="20">
        <f>SUM(B32*B26)</f>
        <v>0</v>
      </c>
      <c r="D32" s="14">
        <v>0</v>
      </c>
      <c r="E32" s="20">
        <v>0</v>
      </c>
      <c r="F32" s="14">
        <v>0</v>
      </c>
      <c r="G32" s="20">
        <f>F26*F32</f>
        <v>0</v>
      </c>
      <c r="H32" s="14">
        <v>0</v>
      </c>
      <c r="I32" s="20">
        <f>SUM(H32*H26)</f>
        <v>0</v>
      </c>
      <c r="J32" s="14">
        <v>0</v>
      </c>
      <c r="K32" s="20">
        <v>0</v>
      </c>
      <c r="L32" s="21">
        <f t="shared" si="1"/>
        <v>0</v>
      </c>
      <c r="M32" s="22">
        <f t="shared" si="2"/>
        <v>0</v>
      </c>
    </row>
    <row r="33" spans="1:13" s="1" customFormat="1" ht="12.75" x14ac:dyDescent="0.15">
      <c r="A33" s="13">
        <v>44652</v>
      </c>
      <c r="B33" s="14">
        <v>0</v>
      </c>
      <c r="C33" s="20">
        <f>SUM(B33*B26)</f>
        <v>0</v>
      </c>
      <c r="D33" s="14">
        <v>0</v>
      </c>
      <c r="E33" s="20">
        <v>0</v>
      </c>
      <c r="F33" s="14">
        <v>0</v>
      </c>
      <c r="G33" s="20">
        <f>F26*F33</f>
        <v>0</v>
      </c>
      <c r="H33" s="14">
        <v>0</v>
      </c>
      <c r="I33" s="20">
        <f>SUM(H33*H26)</f>
        <v>0</v>
      </c>
      <c r="J33" s="14">
        <v>0</v>
      </c>
      <c r="K33" s="20">
        <v>0</v>
      </c>
      <c r="L33" s="21">
        <f t="shared" si="1"/>
        <v>0</v>
      </c>
      <c r="M33" s="22">
        <f t="shared" si="2"/>
        <v>0</v>
      </c>
    </row>
    <row r="34" spans="1:13" s="1" customFormat="1" ht="12.75" x14ac:dyDescent="0.15">
      <c r="A34" s="13">
        <v>44682</v>
      </c>
      <c r="B34" s="14">
        <v>0</v>
      </c>
      <c r="C34" s="20">
        <f>SUM(B34*B26)</f>
        <v>0</v>
      </c>
      <c r="D34" s="14">
        <v>0</v>
      </c>
      <c r="E34" s="20">
        <v>0</v>
      </c>
      <c r="F34" s="14">
        <v>0</v>
      </c>
      <c r="G34" s="20">
        <f>F26*F34</f>
        <v>0</v>
      </c>
      <c r="H34" s="14">
        <v>0</v>
      </c>
      <c r="I34" s="20">
        <f>SUM(H34*H26)</f>
        <v>0</v>
      </c>
      <c r="J34" s="14">
        <v>0</v>
      </c>
      <c r="K34" s="20">
        <v>0</v>
      </c>
      <c r="L34" s="21">
        <f t="shared" si="1"/>
        <v>0</v>
      </c>
      <c r="M34" s="22">
        <f t="shared" si="2"/>
        <v>0</v>
      </c>
    </row>
    <row r="35" spans="1:13" s="1" customFormat="1" ht="12.75" x14ac:dyDescent="0.15">
      <c r="A35" s="13">
        <v>44713</v>
      </c>
      <c r="B35" s="14">
        <v>0</v>
      </c>
      <c r="C35" s="20">
        <f>SUM(B35*B26)</f>
        <v>0</v>
      </c>
      <c r="D35" s="14">
        <v>0</v>
      </c>
      <c r="E35" s="20">
        <v>0</v>
      </c>
      <c r="F35" s="14">
        <v>0</v>
      </c>
      <c r="G35" s="20">
        <f>F26*F35</f>
        <v>0</v>
      </c>
      <c r="H35" s="14">
        <v>0</v>
      </c>
      <c r="I35" s="20">
        <f>SUM(H35*H26)</f>
        <v>0</v>
      </c>
      <c r="J35" s="14">
        <v>0</v>
      </c>
      <c r="K35" s="20">
        <v>0</v>
      </c>
      <c r="L35" s="21">
        <f t="shared" si="1"/>
        <v>0</v>
      </c>
      <c r="M35" s="22">
        <f t="shared" si="2"/>
        <v>0</v>
      </c>
    </row>
    <row r="36" spans="1:13" s="1" customFormat="1" ht="12.75" x14ac:dyDescent="0.15">
      <c r="A36" s="13">
        <v>44743</v>
      </c>
      <c r="B36" s="14">
        <v>0</v>
      </c>
      <c r="C36" s="20">
        <f>SUM(B36*B26)</f>
        <v>0</v>
      </c>
      <c r="D36" s="14">
        <v>0</v>
      </c>
      <c r="E36" s="20">
        <v>0</v>
      </c>
      <c r="F36" s="14">
        <v>0</v>
      </c>
      <c r="G36" s="20">
        <f>F26*F36</f>
        <v>0</v>
      </c>
      <c r="H36" s="14">
        <v>0</v>
      </c>
      <c r="I36" s="20">
        <f>SUM(H36*H26)</f>
        <v>0</v>
      </c>
      <c r="J36" s="14">
        <v>0</v>
      </c>
      <c r="K36" s="20">
        <v>0</v>
      </c>
      <c r="L36" s="21">
        <f t="shared" si="1"/>
        <v>0</v>
      </c>
      <c r="M36" s="22">
        <f t="shared" si="2"/>
        <v>0</v>
      </c>
    </row>
    <row r="37" spans="1:13" s="1" customFormat="1" ht="12.75" x14ac:dyDescent="0.15">
      <c r="A37" s="13">
        <v>44774</v>
      </c>
      <c r="B37" s="14">
        <v>0</v>
      </c>
      <c r="C37" s="20">
        <f>SUM(B37*B26)</f>
        <v>0</v>
      </c>
      <c r="D37" s="14">
        <v>0</v>
      </c>
      <c r="E37" s="20">
        <v>0</v>
      </c>
      <c r="F37" s="14">
        <v>0</v>
      </c>
      <c r="G37" s="20">
        <f>F26*F37</f>
        <v>0</v>
      </c>
      <c r="H37" s="14">
        <v>0</v>
      </c>
      <c r="I37" s="20">
        <f>SUM(H37*H26)</f>
        <v>0</v>
      </c>
      <c r="J37" s="14">
        <v>0</v>
      </c>
      <c r="K37" s="20">
        <v>0</v>
      </c>
      <c r="L37" s="21">
        <f t="shared" si="1"/>
        <v>0</v>
      </c>
      <c r="M37" s="22">
        <f t="shared" si="2"/>
        <v>0</v>
      </c>
    </row>
    <row r="38" spans="1:13" s="1" customFormat="1" ht="12.75" x14ac:dyDescent="0.15">
      <c r="A38" s="13">
        <v>44805</v>
      </c>
      <c r="B38" s="14">
        <v>0</v>
      </c>
      <c r="C38" s="20">
        <f>SUM(B38*B26)</f>
        <v>0</v>
      </c>
      <c r="D38" s="14">
        <v>0</v>
      </c>
      <c r="E38" s="20">
        <v>0</v>
      </c>
      <c r="F38" s="14">
        <v>0</v>
      </c>
      <c r="G38" s="20">
        <f>F38*F26</f>
        <v>0</v>
      </c>
      <c r="H38" s="14">
        <v>0</v>
      </c>
      <c r="I38" s="20">
        <f>SUM(H38*H26)</f>
        <v>0</v>
      </c>
      <c r="J38" s="14">
        <v>0</v>
      </c>
      <c r="K38" s="20">
        <v>0</v>
      </c>
      <c r="L38" s="21">
        <f t="shared" si="1"/>
        <v>0</v>
      </c>
      <c r="M38" s="22">
        <f t="shared" si="2"/>
        <v>0</v>
      </c>
    </row>
    <row r="39" spans="1:13" s="1" customFormat="1" ht="13.5" thickBot="1" x14ac:dyDescent="0.2">
      <c r="A39" s="16" t="s">
        <v>46</v>
      </c>
      <c r="B39" s="17">
        <f t="shared" ref="B39:M39" si="3">SUM(B27:B38)</f>
        <v>6877</v>
      </c>
      <c r="C39" s="23">
        <f t="shared" si="3"/>
        <v>6877</v>
      </c>
      <c r="D39" s="19">
        <f t="shared" si="3"/>
        <v>0</v>
      </c>
      <c r="E39" s="23">
        <f t="shared" si="3"/>
        <v>0</v>
      </c>
      <c r="F39" s="17">
        <f t="shared" si="3"/>
        <v>1267</v>
      </c>
      <c r="G39" s="23">
        <f t="shared" si="3"/>
        <v>12670</v>
      </c>
      <c r="H39" s="17">
        <f t="shared" si="3"/>
        <v>464106</v>
      </c>
      <c r="I39" s="23">
        <f t="shared" si="3"/>
        <v>464106</v>
      </c>
      <c r="J39" s="17">
        <f t="shared" si="3"/>
        <v>2254</v>
      </c>
      <c r="K39" s="23">
        <f t="shared" si="3"/>
        <v>37164.43</v>
      </c>
      <c r="L39" s="24">
        <f t="shared" si="3"/>
        <v>950905</v>
      </c>
      <c r="M39" s="25">
        <f t="shared" si="3"/>
        <v>2307321.1799999997</v>
      </c>
    </row>
    <row r="40" spans="1:13" s="1" customFormat="1" x14ac:dyDescent="0.15"/>
    <row r="41" spans="1:13" s="1" customFormat="1" ht="15" customHeight="1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s="1" customFormat="1" x14ac:dyDescent="0.15">
      <c r="A42" s="26"/>
    </row>
    <row r="43" spans="1:13" s="1" customFormat="1" ht="15.75" x14ac:dyDescent="0.15">
      <c r="A43" s="3" t="s">
        <v>33</v>
      </c>
    </row>
    <row r="44" spans="1:13" s="1" customFormat="1" ht="17.25" customHeight="1" x14ac:dyDescent="0.15">
      <c r="A44" s="28" t="s">
        <v>34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s="1" customFormat="1" ht="17.25" customHeight="1" x14ac:dyDescent="0.15">
      <c r="A45" s="29" t="s">
        <v>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s="1" customFormat="1" ht="17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1" customFormat="1" ht="17.25" customHeight="1" x14ac:dyDescent="0.15"/>
    <row r="48" spans="1:13" s="1" customFormat="1" ht="17.25" customHeight="1" x14ac:dyDescent="0.15"/>
    <row r="49" spans="1:13" s="1" customFormat="1" ht="13.5" customHeight="1" x14ac:dyDescent="0.15">
      <c r="A49" s="3" t="s">
        <v>47</v>
      </c>
      <c r="B49" s="4"/>
      <c r="C49" s="4"/>
      <c r="D49" s="4"/>
      <c r="E49" s="3"/>
      <c r="F49" s="4"/>
      <c r="G49" s="4"/>
      <c r="H49" s="4"/>
      <c r="I49" s="4"/>
      <c r="L49" s="4"/>
      <c r="M49" s="4"/>
    </row>
    <row r="50" spans="1:13" s="1" customFormat="1" ht="13.5" thickBo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1" customFormat="1" ht="12.75" x14ac:dyDescent="0.15">
      <c r="A51" s="5" t="s">
        <v>3</v>
      </c>
      <c r="B51" s="6" t="s">
        <v>4</v>
      </c>
      <c r="C51" s="6" t="s">
        <v>5</v>
      </c>
      <c r="D51" s="6" t="s">
        <v>6</v>
      </c>
      <c r="E51" s="6" t="s">
        <v>7</v>
      </c>
      <c r="F51" s="6" t="s">
        <v>8</v>
      </c>
      <c r="G51" s="7" t="s">
        <v>9</v>
      </c>
      <c r="H51" s="6" t="s">
        <v>10</v>
      </c>
      <c r="I51" s="7" t="s">
        <v>11</v>
      </c>
      <c r="J51" s="6" t="s">
        <v>12</v>
      </c>
      <c r="K51" s="7" t="s">
        <v>13</v>
      </c>
      <c r="L51" s="5" t="s">
        <v>14</v>
      </c>
      <c r="M51" s="6" t="s">
        <v>15</v>
      </c>
    </row>
    <row r="52" spans="1:13" s="1" customFormat="1" ht="13.5" thickBot="1" x14ac:dyDescent="0.2">
      <c r="A52" s="8" t="s">
        <v>16</v>
      </c>
      <c r="B52" s="9">
        <v>3.75</v>
      </c>
      <c r="C52" s="10" t="s">
        <v>17</v>
      </c>
      <c r="D52" s="9" t="s">
        <v>38</v>
      </c>
      <c r="E52" s="10" t="s">
        <v>17</v>
      </c>
      <c r="F52" s="9" t="s">
        <v>39</v>
      </c>
      <c r="G52" s="11" t="s">
        <v>17</v>
      </c>
      <c r="H52" s="27" t="s">
        <v>40</v>
      </c>
      <c r="I52" s="11" t="s">
        <v>17</v>
      </c>
      <c r="J52" s="9" t="s">
        <v>41</v>
      </c>
      <c r="K52" s="11" t="s">
        <v>17</v>
      </c>
      <c r="L52" s="12" t="s">
        <v>42</v>
      </c>
      <c r="M52" s="10" t="s">
        <v>17</v>
      </c>
    </row>
    <row r="53" spans="1:13" s="1" customFormat="1" ht="12.75" x14ac:dyDescent="0.15">
      <c r="A53" s="13">
        <v>44470</v>
      </c>
      <c r="B53" s="14">
        <v>20611</v>
      </c>
      <c r="C53" s="15">
        <f>SUM(B53*B52)</f>
        <v>77291.25</v>
      </c>
      <c r="D53" s="14">
        <v>82</v>
      </c>
      <c r="E53" s="15">
        <v>830</v>
      </c>
      <c r="F53" s="14">
        <v>334</v>
      </c>
      <c r="G53" s="15">
        <v>4908</v>
      </c>
      <c r="H53" s="14">
        <v>3</v>
      </c>
      <c r="I53" s="15">
        <v>51.75</v>
      </c>
      <c r="J53" s="14">
        <v>773</v>
      </c>
      <c r="K53" s="15">
        <v>15845.5</v>
      </c>
      <c r="L53" s="14">
        <v>49</v>
      </c>
      <c r="M53" s="15">
        <v>1142.75</v>
      </c>
    </row>
    <row r="54" spans="1:13" s="1" customFormat="1" ht="12.75" x14ac:dyDescent="0.15">
      <c r="A54" s="13">
        <v>44501</v>
      </c>
      <c r="B54" s="14">
        <v>27863</v>
      </c>
      <c r="C54" s="15">
        <f>SUM(B54*B52)</f>
        <v>104486.25</v>
      </c>
      <c r="D54" s="14">
        <v>61</v>
      </c>
      <c r="E54" s="15">
        <v>620</v>
      </c>
      <c r="F54" s="14">
        <v>280</v>
      </c>
      <c r="G54" s="15">
        <v>4111.5</v>
      </c>
      <c r="H54" s="14">
        <v>4</v>
      </c>
      <c r="I54" s="15">
        <v>69</v>
      </c>
      <c r="J54" s="14">
        <v>623</v>
      </c>
      <c r="K54" s="15">
        <v>12608.75</v>
      </c>
      <c r="L54" s="14">
        <v>50</v>
      </c>
      <c r="M54" s="15">
        <v>1162.5</v>
      </c>
    </row>
    <row r="55" spans="1:13" s="1" customFormat="1" ht="12.75" x14ac:dyDescent="0.15">
      <c r="A55" s="13">
        <v>44531</v>
      </c>
      <c r="B55" s="14">
        <v>36923</v>
      </c>
      <c r="C55" s="15">
        <f>SUM(B55*B52)</f>
        <v>138461.25</v>
      </c>
      <c r="D55" s="14">
        <v>57</v>
      </c>
      <c r="E55" s="15">
        <v>588</v>
      </c>
      <c r="F55" s="14">
        <v>206</v>
      </c>
      <c r="G55" s="15">
        <v>2998.5</v>
      </c>
      <c r="H55" s="14">
        <v>8</v>
      </c>
      <c r="I55" s="15">
        <v>138</v>
      </c>
      <c r="J55" s="14">
        <v>535</v>
      </c>
      <c r="K55" s="15">
        <v>10829.5</v>
      </c>
      <c r="L55" s="14">
        <v>58</v>
      </c>
      <c r="M55" s="15">
        <v>1352</v>
      </c>
    </row>
    <row r="56" spans="1:13" s="1" customFormat="1" ht="12.75" x14ac:dyDescent="0.15">
      <c r="A56" s="13">
        <v>44562</v>
      </c>
      <c r="B56" s="14">
        <v>27914</v>
      </c>
      <c r="C56" s="15">
        <f>SUM(B56*B52)</f>
        <v>104677.5</v>
      </c>
      <c r="D56" s="14">
        <v>56</v>
      </c>
      <c r="E56" s="15">
        <v>581.5</v>
      </c>
      <c r="F56" s="14">
        <v>184</v>
      </c>
      <c r="G56" s="15">
        <v>2665.5</v>
      </c>
      <c r="H56" s="14">
        <v>7</v>
      </c>
      <c r="I56" s="15">
        <v>119</v>
      </c>
      <c r="J56" s="14">
        <v>590</v>
      </c>
      <c r="K56" s="15">
        <v>11866.25</v>
      </c>
      <c r="L56" s="14">
        <v>88</v>
      </c>
      <c r="M56" s="15">
        <v>2051.25</v>
      </c>
    </row>
    <row r="57" spans="1:13" s="1" customFormat="1" ht="12.75" x14ac:dyDescent="0.15">
      <c r="A57" s="13">
        <v>44593</v>
      </c>
      <c r="B57" s="14">
        <v>28506</v>
      </c>
      <c r="C57" s="15">
        <f>SUM(B57*B52)</f>
        <v>106897.5</v>
      </c>
      <c r="D57" s="14">
        <v>65</v>
      </c>
      <c r="E57" s="15">
        <v>677.5</v>
      </c>
      <c r="F57" s="14">
        <v>144</v>
      </c>
      <c r="G57" s="15">
        <v>2092.5</v>
      </c>
      <c r="H57" s="14">
        <v>1</v>
      </c>
      <c r="I57" s="15">
        <v>17.25</v>
      </c>
      <c r="J57" s="14">
        <v>572</v>
      </c>
      <c r="K57" s="15">
        <v>11495</v>
      </c>
      <c r="L57" s="14">
        <v>132</v>
      </c>
      <c r="M57" s="15">
        <v>3072.5</v>
      </c>
    </row>
    <row r="58" spans="1:13" s="1" customFormat="1" ht="12.75" x14ac:dyDescent="0.15">
      <c r="A58" s="13">
        <v>44621</v>
      </c>
      <c r="B58" s="14">
        <v>0</v>
      </c>
      <c r="C58" s="15">
        <f>SUM(B58*B52)</f>
        <v>0</v>
      </c>
      <c r="D58" s="14">
        <v>0</v>
      </c>
      <c r="E58" s="15">
        <v>0</v>
      </c>
      <c r="F58" s="14">
        <v>0</v>
      </c>
      <c r="G58" s="15">
        <v>0</v>
      </c>
      <c r="H58" s="14">
        <v>0</v>
      </c>
      <c r="I58" s="15">
        <v>0</v>
      </c>
      <c r="J58" s="14">
        <v>0</v>
      </c>
      <c r="K58" s="15">
        <v>0</v>
      </c>
      <c r="L58" s="14">
        <v>0</v>
      </c>
      <c r="M58" s="15">
        <v>0</v>
      </c>
    </row>
    <row r="59" spans="1:13" s="1" customFormat="1" ht="12.75" x14ac:dyDescent="0.15">
      <c r="A59" s="13">
        <v>44652</v>
      </c>
      <c r="B59" s="14">
        <v>0</v>
      </c>
      <c r="C59" s="15">
        <f>SUM(B59*B52)</f>
        <v>0</v>
      </c>
      <c r="D59" s="14">
        <v>0</v>
      </c>
      <c r="E59" s="15">
        <v>0</v>
      </c>
      <c r="F59" s="14">
        <v>0</v>
      </c>
      <c r="G59" s="15">
        <v>0</v>
      </c>
      <c r="H59" s="14">
        <v>0</v>
      </c>
      <c r="I59" s="15">
        <v>0</v>
      </c>
      <c r="J59" s="14">
        <v>0</v>
      </c>
      <c r="K59" s="15">
        <v>0</v>
      </c>
      <c r="L59" s="14">
        <v>0</v>
      </c>
      <c r="M59" s="15">
        <v>0</v>
      </c>
    </row>
    <row r="60" spans="1:13" s="1" customFormat="1" ht="12.75" x14ac:dyDescent="0.15">
      <c r="A60" s="13">
        <v>44682</v>
      </c>
      <c r="B60" s="14">
        <v>0</v>
      </c>
      <c r="C60" s="15">
        <f>SUM(B60*B52)</f>
        <v>0</v>
      </c>
      <c r="D60" s="14">
        <v>0</v>
      </c>
      <c r="E60" s="15">
        <v>0</v>
      </c>
      <c r="F60" s="14">
        <v>0</v>
      </c>
      <c r="G60" s="15">
        <v>0</v>
      </c>
      <c r="H60" s="14">
        <v>0</v>
      </c>
      <c r="I60" s="15">
        <v>0</v>
      </c>
      <c r="J60" s="14">
        <v>0</v>
      </c>
      <c r="K60" s="15">
        <v>0</v>
      </c>
      <c r="L60" s="14">
        <v>0</v>
      </c>
      <c r="M60" s="15">
        <v>0</v>
      </c>
    </row>
    <row r="61" spans="1:13" s="1" customFormat="1" ht="12.75" x14ac:dyDescent="0.15">
      <c r="A61" s="13">
        <v>44713</v>
      </c>
      <c r="B61" s="14">
        <v>0</v>
      </c>
      <c r="C61" s="15">
        <f>SUM(B61*B52)</f>
        <v>0</v>
      </c>
      <c r="D61" s="14">
        <v>0</v>
      </c>
      <c r="E61" s="15">
        <v>0</v>
      </c>
      <c r="F61" s="14">
        <v>0</v>
      </c>
      <c r="G61" s="15">
        <v>0</v>
      </c>
      <c r="H61" s="14">
        <v>0</v>
      </c>
      <c r="I61" s="15">
        <v>0</v>
      </c>
      <c r="J61" s="14">
        <v>0</v>
      </c>
      <c r="K61" s="15">
        <v>0</v>
      </c>
      <c r="L61" s="14">
        <v>0</v>
      </c>
      <c r="M61" s="15">
        <v>0</v>
      </c>
    </row>
    <row r="62" spans="1:13" s="1" customFormat="1" ht="12.75" x14ac:dyDescent="0.15">
      <c r="A62" s="13">
        <v>44743</v>
      </c>
      <c r="B62" s="14">
        <v>0</v>
      </c>
      <c r="C62" s="15">
        <f>SUM(B62*B52)</f>
        <v>0</v>
      </c>
      <c r="D62" s="14">
        <v>0</v>
      </c>
      <c r="E62" s="15">
        <v>0</v>
      </c>
      <c r="F62" s="14">
        <v>0</v>
      </c>
      <c r="G62" s="15">
        <v>0</v>
      </c>
      <c r="H62" s="14">
        <v>0</v>
      </c>
      <c r="I62" s="15">
        <v>0</v>
      </c>
      <c r="J62" s="14">
        <v>0</v>
      </c>
      <c r="K62" s="15">
        <v>0</v>
      </c>
      <c r="L62" s="14">
        <v>0</v>
      </c>
      <c r="M62" s="15">
        <v>0</v>
      </c>
    </row>
    <row r="63" spans="1:13" s="1" customFormat="1" ht="12.75" x14ac:dyDescent="0.15">
      <c r="A63" s="13">
        <v>44774</v>
      </c>
      <c r="B63" s="14">
        <v>0</v>
      </c>
      <c r="C63" s="15">
        <f>SUM(B63*B52)</f>
        <v>0</v>
      </c>
      <c r="D63" s="14">
        <v>0</v>
      </c>
      <c r="E63" s="15">
        <v>0</v>
      </c>
      <c r="F63" s="14">
        <v>0</v>
      </c>
      <c r="G63" s="15">
        <v>0</v>
      </c>
      <c r="H63" s="14">
        <v>0</v>
      </c>
      <c r="I63" s="15">
        <v>0</v>
      </c>
      <c r="J63" s="14">
        <v>0</v>
      </c>
      <c r="K63" s="15">
        <v>0</v>
      </c>
      <c r="L63" s="14">
        <v>0</v>
      </c>
      <c r="M63" s="15">
        <v>0</v>
      </c>
    </row>
    <row r="64" spans="1:13" s="1" customFormat="1" ht="12.75" x14ac:dyDescent="0.15">
      <c r="A64" s="13">
        <v>44805</v>
      </c>
      <c r="B64" s="14">
        <v>0</v>
      </c>
      <c r="C64" s="15">
        <f>B64*B52</f>
        <v>0</v>
      </c>
      <c r="D64" s="14">
        <v>0</v>
      </c>
      <c r="E64" s="15">
        <v>0</v>
      </c>
      <c r="F64" s="14">
        <v>0</v>
      </c>
      <c r="G64" s="15">
        <v>0</v>
      </c>
      <c r="H64" s="14">
        <v>0</v>
      </c>
      <c r="I64" s="15">
        <v>0</v>
      </c>
      <c r="J64" s="14">
        <v>0</v>
      </c>
      <c r="K64" s="15">
        <v>0</v>
      </c>
      <c r="L64" s="14">
        <v>0</v>
      </c>
      <c r="M64" s="15">
        <v>0</v>
      </c>
    </row>
    <row r="65" spans="1:13" s="1" customFormat="1" ht="13.5" thickBot="1" x14ac:dyDescent="0.2">
      <c r="A65" s="16" t="s">
        <v>46</v>
      </c>
      <c r="B65" s="17">
        <f t="shared" ref="B65:M65" si="4">SUM(B53:B64)</f>
        <v>141817</v>
      </c>
      <c r="C65" s="18">
        <f t="shared" si="4"/>
        <v>531813.75</v>
      </c>
      <c r="D65" s="17">
        <f t="shared" si="4"/>
        <v>321</v>
      </c>
      <c r="E65" s="18">
        <f t="shared" si="4"/>
        <v>3297</v>
      </c>
      <c r="F65" s="17">
        <f t="shared" si="4"/>
        <v>1148</v>
      </c>
      <c r="G65" s="18">
        <f t="shared" si="4"/>
        <v>16776</v>
      </c>
      <c r="H65" s="19">
        <f t="shared" si="4"/>
        <v>23</v>
      </c>
      <c r="I65" s="18">
        <f t="shared" si="4"/>
        <v>395</v>
      </c>
      <c r="J65" s="17">
        <f t="shared" si="4"/>
        <v>3093</v>
      </c>
      <c r="K65" s="18">
        <f t="shared" si="4"/>
        <v>62645</v>
      </c>
      <c r="L65" s="19">
        <f t="shared" si="4"/>
        <v>377</v>
      </c>
      <c r="M65" s="18">
        <f t="shared" si="4"/>
        <v>8781</v>
      </c>
    </row>
    <row r="66" spans="1:13" s="1" customFormat="1" ht="12.75" thickBot="1" x14ac:dyDescent="0.2"/>
    <row r="67" spans="1:13" s="1" customFormat="1" ht="12.75" x14ac:dyDescent="0.15">
      <c r="A67" s="5" t="s">
        <v>3</v>
      </c>
      <c r="B67" s="6" t="s">
        <v>19</v>
      </c>
      <c r="C67" s="6" t="s">
        <v>20</v>
      </c>
      <c r="D67" s="6" t="s">
        <v>21</v>
      </c>
      <c r="E67" s="6" t="s">
        <v>22</v>
      </c>
      <c r="F67" s="6" t="s">
        <v>23</v>
      </c>
      <c r="G67" s="6" t="s">
        <v>24</v>
      </c>
      <c r="H67" s="6" t="s">
        <v>25</v>
      </c>
      <c r="I67" s="6" t="s">
        <v>26</v>
      </c>
      <c r="J67" s="6" t="s">
        <v>27</v>
      </c>
      <c r="K67" s="6" t="s">
        <v>28</v>
      </c>
      <c r="L67" s="6" t="s">
        <v>29</v>
      </c>
      <c r="M67" s="6" t="s">
        <v>29</v>
      </c>
    </row>
    <row r="68" spans="1:13" s="1" customFormat="1" ht="13.5" thickBot="1" x14ac:dyDescent="0.2">
      <c r="A68" s="8" t="s">
        <v>16</v>
      </c>
      <c r="B68" s="9">
        <v>1</v>
      </c>
      <c r="C68" s="10" t="s">
        <v>17</v>
      </c>
      <c r="D68" s="9" t="s">
        <v>30</v>
      </c>
      <c r="E68" s="10" t="s">
        <v>17</v>
      </c>
      <c r="F68" s="9">
        <v>10</v>
      </c>
      <c r="G68" s="10" t="s">
        <v>17</v>
      </c>
      <c r="H68" s="9">
        <v>1</v>
      </c>
      <c r="I68" s="10" t="s">
        <v>17</v>
      </c>
      <c r="J68" s="10"/>
      <c r="K68" s="10" t="s">
        <v>17</v>
      </c>
      <c r="L68" s="10" t="s">
        <v>31</v>
      </c>
      <c r="M68" s="10" t="s">
        <v>32</v>
      </c>
    </row>
    <row r="69" spans="1:13" s="1" customFormat="1" ht="12.75" x14ac:dyDescent="0.15">
      <c r="A69" s="13">
        <v>44470</v>
      </c>
      <c r="B69" s="14">
        <v>1</v>
      </c>
      <c r="C69" s="20">
        <f>SUM(B69*B68)</f>
        <v>1</v>
      </c>
      <c r="D69" s="14">
        <f>4217+1120</f>
        <v>5337</v>
      </c>
      <c r="E69" s="20">
        <f>32681.75+12600</f>
        <v>45281.75</v>
      </c>
      <c r="F69" s="14">
        <v>2</v>
      </c>
      <c r="G69" s="20">
        <f>F69*F68</f>
        <v>20</v>
      </c>
      <c r="H69" s="14">
        <v>80</v>
      </c>
      <c r="I69" s="20">
        <f>SUM(H69*H68)</f>
        <v>80</v>
      </c>
      <c r="J69" s="14">
        <f>22+182+1839</f>
        <v>2043</v>
      </c>
      <c r="K69" s="20">
        <f>1298.5+546+6436.5+660.01</f>
        <v>8941.01</v>
      </c>
      <c r="L69" s="21">
        <f t="shared" ref="L69:L80" si="5">B53+D53+F53+H53+J53+L53+B69+D69+F69+H69+J69</f>
        <v>29315</v>
      </c>
      <c r="M69" s="22">
        <f t="shared" ref="M69:M80" si="6">C53+E53+G53+I53+K53+M53+C69+E69+G69+I69+K69</f>
        <v>154393.01</v>
      </c>
    </row>
    <row r="70" spans="1:13" s="1" customFormat="1" ht="12.75" x14ac:dyDescent="0.15">
      <c r="A70" s="13">
        <v>44501</v>
      </c>
      <c r="B70" s="14">
        <v>1</v>
      </c>
      <c r="C70" s="20">
        <f>SUM(B70*B68)</f>
        <v>1</v>
      </c>
      <c r="D70" s="14">
        <f>4658+1466</f>
        <v>6124</v>
      </c>
      <c r="E70" s="20">
        <f>36099.5+16492.5</f>
        <v>52592</v>
      </c>
      <c r="F70" s="14">
        <v>2</v>
      </c>
      <c r="G70" s="20">
        <f>F70*F68</f>
        <v>20</v>
      </c>
      <c r="H70" s="14">
        <v>186</v>
      </c>
      <c r="I70" s="20">
        <f>SUM(H70*H68)</f>
        <v>186</v>
      </c>
      <c r="J70" s="14">
        <f>22+325+2195</f>
        <v>2542</v>
      </c>
      <c r="K70" s="20">
        <f>1782.5+975+7682.5+1036.6</f>
        <v>11476.6</v>
      </c>
      <c r="L70" s="21">
        <f t="shared" si="5"/>
        <v>37736</v>
      </c>
      <c r="M70" s="22">
        <f t="shared" si="6"/>
        <v>187333.6</v>
      </c>
    </row>
    <row r="71" spans="1:13" s="1" customFormat="1" ht="12.75" x14ac:dyDescent="0.15">
      <c r="A71" s="13">
        <v>44531</v>
      </c>
      <c r="B71" s="14">
        <v>5</v>
      </c>
      <c r="C71" s="20">
        <f>SUM(B71*B68)</f>
        <v>5</v>
      </c>
      <c r="D71" s="14">
        <f>4379+1314</f>
        <v>5693</v>
      </c>
      <c r="E71" s="20">
        <f>33937.25+14782.5</f>
        <v>48719.75</v>
      </c>
      <c r="F71" s="14">
        <v>4</v>
      </c>
      <c r="G71" s="20">
        <f>F71*F68</f>
        <v>40</v>
      </c>
      <c r="H71" s="14">
        <v>255</v>
      </c>
      <c r="I71" s="20">
        <f>SUM(H71*H68)</f>
        <v>255</v>
      </c>
      <c r="J71" s="14">
        <f>50+489+1969</f>
        <v>2508</v>
      </c>
      <c r="K71" s="20">
        <f>5597.5+1467+6891.5+1363.31</f>
        <v>15319.31</v>
      </c>
      <c r="L71" s="21">
        <f t="shared" si="5"/>
        <v>46252</v>
      </c>
      <c r="M71" s="22">
        <f t="shared" si="6"/>
        <v>218706.31</v>
      </c>
    </row>
    <row r="72" spans="1:13" s="1" customFormat="1" ht="12.75" x14ac:dyDescent="0.15">
      <c r="A72" s="13">
        <v>44562</v>
      </c>
      <c r="B72" s="14">
        <v>1</v>
      </c>
      <c r="C72" s="20">
        <f>SUM(B72*B68)</f>
        <v>1</v>
      </c>
      <c r="D72" s="14">
        <f>2497+520</f>
        <v>3017</v>
      </c>
      <c r="E72" s="20">
        <f>19351.75+5850</f>
        <v>25201.75</v>
      </c>
      <c r="F72" s="14">
        <v>0</v>
      </c>
      <c r="G72" s="20">
        <f>F72*F68</f>
        <v>0</v>
      </c>
      <c r="H72" s="14">
        <v>143</v>
      </c>
      <c r="I72" s="20">
        <f>SUM(H72*H68)</f>
        <v>143</v>
      </c>
      <c r="J72" s="14">
        <f>74+329+876</f>
        <v>1279</v>
      </c>
      <c r="K72" s="20">
        <f>7613.5+987+3066+1092.74</f>
        <v>12759.24</v>
      </c>
      <c r="L72" s="21">
        <f t="shared" si="5"/>
        <v>33279</v>
      </c>
      <c r="M72" s="22">
        <f t="shared" si="6"/>
        <v>160065.99</v>
      </c>
    </row>
    <row r="73" spans="1:13" s="1" customFormat="1" ht="12.75" x14ac:dyDescent="0.15">
      <c r="A73" s="13">
        <v>44593</v>
      </c>
      <c r="B73" s="14">
        <v>1</v>
      </c>
      <c r="C73" s="20">
        <f>SUM(B73*B68)</f>
        <v>1</v>
      </c>
      <c r="D73" s="14">
        <f>3890+846</f>
        <v>4736</v>
      </c>
      <c r="E73" s="20">
        <f>30147.5+9517.5</f>
        <v>39665</v>
      </c>
      <c r="F73" s="14">
        <v>0</v>
      </c>
      <c r="G73" s="20">
        <f>F73*F68</f>
        <v>0</v>
      </c>
      <c r="H73" s="14">
        <v>136</v>
      </c>
      <c r="I73" s="20">
        <f>SUM(H73*H68)</f>
        <v>136</v>
      </c>
      <c r="J73" s="14">
        <f>35+366+1391</f>
        <v>1792</v>
      </c>
      <c r="K73" s="20">
        <f>3169+1098+4868.5+1053.91</f>
        <v>10189.41</v>
      </c>
      <c r="L73" s="21">
        <f t="shared" si="5"/>
        <v>36085</v>
      </c>
      <c r="M73" s="22">
        <f t="shared" si="6"/>
        <v>174243.66</v>
      </c>
    </row>
    <row r="74" spans="1:13" s="1" customFormat="1" ht="12.75" x14ac:dyDescent="0.15">
      <c r="A74" s="13">
        <v>44621</v>
      </c>
      <c r="B74" s="14">
        <v>0</v>
      </c>
      <c r="C74" s="20">
        <f>SUM(B74*B68)</f>
        <v>0</v>
      </c>
      <c r="D74" s="14">
        <v>0</v>
      </c>
      <c r="E74" s="20">
        <v>0</v>
      </c>
      <c r="F74" s="14">
        <v>0</v>
      </c>
      <c r="G74" s="20">
        <f>F74*F68</f>
        <v>0</v>
      </c>
      <c r="H74" s="14">
        <v>0</v>
      </c>
      <c r="I74" s="20">
        <f>SUM(H74*H68)</f>
        <v>0</v>
      </c>
      <c r="J74" s="14">
        <v>0</v>
      </c>
      <c r="K74" s="20">
        <v>0</v>
      </c>
      <c r="L74" s="21">
        <f t="shared" si="5"/>
        <v>0</v>
      </c>
      <c r="M74" s="22">
        <f t="shared" si="6"/>
        <v>0</v>
      </c>
    </row>
    <row r="75" spans="1:13" s="1" customFormat="1" ht="12.75" x14ac:dyDescent="0.15">
      <c r="A75" s="13">
        <v>44652</v>
      </c>
      <c r="B75" s="14">
        <v>0</v>
      </c>
      <c r="C75" s="20">
        <f>SUM(B75*B68)</f>
        <v>0</v>
      </c>
      <c r="D75" s="14">
        <v>0</v>
      </c>
      <c r="E75" s="20">
        <v>0</v>
      </c>
      <c r="F75" s="14">
        <v>0</v>
      </c>
      <c r="G75" s="20">
        <f>F75*F68</f>
        <v>0</v>
      </c>
      <c r="H75" s="14">
        <v>0</v>
      </c>
      <c r="I75" s="20">
        <f>SUM(H75*H68)</f>
        <v>0</v>
      </c>
      <c r="J75" s="14">
        <v>0</v>
      </c>
      <c r="K75" s="20">
        <v>0</v>
      </c>
      <c r="L75" s="21">
        <f t="shared" si="5"/>
        <v>0</v>
      </c>
      <c r="M75" s="22">
        <f t="shared" si="6"/>
        <v>0</v>
      </c>
    </row>
    <row r="76" spans="1:13" s="1" customFormat="1" ht="12.75" x14ac:dyDescent="0.15">
      <c r="A76" s="13">
        <v>44682</v>
      </c>
      <c r="B76" s="14">
        <v>0</v>
      </c>
      <c r="C76" s="20">
        <f>SUM(B76*B68)</f>
        <v>0</v>
      </c>
      <c r="D76" s="14">
        <v>0</v>
      </c>
      <c r="E76" s="20">
        <v>0</v>
      </c>
      <c r="F76" s="14">
        <v>0</v>
      </c>
      <c r="G76" s="20">
        <f>F76*F68</f>
        <v>0</v>
      </c>
      <c r="H76" s="14">
        <v>0</v>
      </c>
      <c r="I76" s="20">
        <f>SUM(H76*H68)</f>
        <v>0</v>
      </c>
      <c r="J76" s="14">
        <v>0</v>
      </c>
      <c r="K76" s="20">
        <v>0</v>
      </c>
      <c r="L76" s="21">
        <f t="shared" si="5"/>
        <v>0</v>
      </c>
      <c r="M76" s="22">
        <f t="shared" si="6"/>
        <v>0</v>
      </c>
    </row>
    <row r="77" spans="1:13" s="1" customFormat="1" ht="12.75" x14ac:dyDescent="0.15">
      <c r="A77" s="13">
        <v>44713</v>
      </c>
      <c r="B77" s="14">
        <v>0</v>
      </c>
      <c r="C77" s="20">
        <f>SUM(B77*B68)</f>
        <v>0</v>
      </c>
      <c r="D77" s="14">
        <v>0</v>
      </c>
      <c r="E77" s="20">
        <v>0</v>
      </c>
      <c r="F77" s="14">
        <v>0</v>
      </c>
      <c r="G77" s="20">
        <f>F77*F68</f>
        <v>0</v>
      </c>
      <c r="H77" s="14">
        <v>0</v>
      </c>
      <c r="I77" s="20">
        <f>SUM(H77*H68)</f>
        <v>0</v>
      </c>
      <c r="J77" s="14">
        <v>0</v>
      </c>
      <c r="K77" s="20">
        <v>0</v>
      </c>
      <c r="L77" s="21">
        <f t="shared" si="5"/>
        <v>0</v>
      </c>
      <c r="M77" s="22">
        <f t="shared" si="6"/>
        <v>0</v>
      </c>
    </row>
    <row r="78" spans="1:13" s="1" customFormat="1" ht="12.75" x14ac:dyDescent="0.15">
      <c r="A78" s="13">
        <v>44743</v>
      </c>
      <c r="B78" s="14">
        <v>0</v>
      </c>
      <c r="C78" s="20">
        <f>SUM(B78*B68)</f>
        <v>0</v>
      </c>
      <c r="D78" s="14">
        <v>0</v>
      </c>
      <c r="E78" s="20">
        <v>0</v>
      </c>
      <c r="F78" s="14">
        <v>0</v>
      </c>
      <c r="G78" s="20">
        <f>F78*F68</f>
        <v>0</v>
      </c>
      <c r="H78" s="14">
        <v>0</v>
      </c>
      <c r="I78" s="20">
        <f>SUM(H78*H68)</f>
        <v>0</v>
      </c>
      <c r="J78" s="14">
        <v>0</v>
      </c>
      <c r="K78" s="20">
        <v>0</v>
      </c>
      <c r="L78" s="21">
        <f t="shared" si="5"/>
        <v>0</v>
      </c>
      <c r="M78" s="22">
        <f t="shared" si="6"/>
        <v>0</v>
      </c>
    </row>
    <row r="79" spans="1:13" s="1" customFormat="1" ht="12.75" x14ac:dyDescent="0.15">
      <c r="A79" s="13">
        <v>44774</v>
      </c>
      <c r="B79" s="14">
        <v>0</v>
      </c>
      <c r="C79" s="20">
        <f>SUM(B79*B68)</f>
        <v>0</v>
      </c>
      <c r="D79" s="14">
        <v>0</v>
      </c>
      <c r="E79" s="20">
        <v>0</v>
      </c>
      <c r="F79" s="14">
        <v>0</v>
      </c>
      <c r="G79" s="20">
        <f>F79*F68</f>
        <v>0</v>
      </c>
      <c r="H79" s="14">
        <v>0</v>
      </c>
      <c r="I79" s="20">
        <f>SUM(H79*H68)</f>
        <v>0</v>
      </c>
      <c r="J79" s="14">
        <v>0</v>
      </c>
      <c r="K79" s="20">
        <v>0</v>
      </c>
      <c r="L79" s="21">
        <f t="shared" si="5"/>
        <v>0</v>
      </c>
      <c r="M79" s="22">
        <f t="shared" si="6"/>
        <v>0</v>
      </c>
    </row>
    <row r="80" spans="1:13" s="1" customFormat="1" ht="12.75" x14ac:dyDescent="0.15">
      <c r="A80" s="13">
        <v>44805</v>
      </c>
      <c r="B80" s="14">
        <v>0</v>
      </c>
      <c r="C80" s="20">
        <f>B80*B68</f>
        <v>0</v>
      </c>
      <c r="D80" s="14">
        <v>0</v>
      </c>
      <c r="E80" s="20">
        <v>0</v>
      </c>
      <c r="F80" s="14">
        <v>0</v>
      </c>
      <c r="G80" s="20">
        <f>F80*F68</f>
        <v>0</v>
      </c>
      <c r="H80" s="14">
        <v>0</v>
      </c>
      <c r="I80" s="20">
        <f>SUM(H80*H68)</f>
        <v>0</v>
      </c>
      <c r="J80" s="14">
        <v>0</v>
      </c>
      <c r="K80" s="20">
        <v>0</v>
      </c>
      <c r="L80" s="21">
        <f t="shared" si="5"/>
        <v>0</v>
      </c>
      <c r="M80" s="22">
        <f t="shared" si="6"/>
        <v>0</v>
      </c>
    </row>
    <row r="81" spans="1:13" s="1" customFormat="1" ht="13.5" thickBot="1" x14ac:dyDescent="0.2">
      <c r="A81" s="16" t="s">
        <v>46</v>
      </c>
      <c r="B81" s="17">
        <f t="shared" ref="B81:M81" si="7">SUM(B69:B80)</f>
        <v>9</v>
      </c>
      <c r="C81" s="23">
        <f t="shared" si="7"/>
        <v>9</v>
      </c>
      <c r="D81" s="17">
        <f t="shared" si="7"/>
        <v>24907</v>
      </c>
      <c r="E81" s="23">
        <f t="shared" si="7"/>
        <v>211460.25</v>
      </c>
      <c r="F81" s="19">
        <f t="shared" si="7"/>
        <v>8</v>
      </c>
      <c r="G81" s="23">
        <f t="shared" si="7"/>
        <v>80</v>
      </c>
      <c r="H81" s="17">
        <f t="shared" si="7"/>
        <v>800</v>
      </c>
      <c r="I81" s="23">
        <f t="shared" si="7"/>
        <v>800</v>
      </c>
      <c r="J81" s="17">
        <f t="shared" si="7"/>
        <v>10164</v>
      </c>
      <c r="K81" s="23">
        <f t="shared" si="7"/>
        <v>58685.569999999992</v>
      </c>
      <c r="L81" s="24">
        <f t="shared" si="7"/>
        <v>182667</v>
      </c>
      <c r="M81" s="25">
        <f t="shared" si="7"/>
        <v>894742.57</v>
      </c>
    </row>
    <row r="82" spans="1:13" s="1" customFormat="1" x14ac:dyDescent="0.15"/>
    <row r="83" spans="1:13" s="1" customFormat="1" ht="15" customHeight="1" x14ac:dyDescent="0.1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s="1" customFormat="1" x14ac:dyDescent="0.15">
      <c r="A84" s="26"/>
    </row>
    <row r="85" spans="1:13" s="1" customFormat="1" ht="15.75" x14ac:dyDescent="0.15">
      <c r="A85" s="3" t="s">
        <v>33</v>
      </c>
    </row>
    <row r="86" spans="1:13" s="1" customFormat="1" ht="17.25" customHeight="1" x14ac:dyDescent="0.15">
      <c r="A86" s="28" t="s">
        <v>35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s="1" customFormat="1" ht="17.25" customHeight="1" x14ac:dyDescent="0.15">
      <c r="A87" s="29" t="s">
        <v>1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 s="1" customFormat="1" ht="17.2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s="1" customFormat="1" ht="17.25" customHeight="1" x14ac:dyDescent="0.15"/>
    <row r="90" spans="1:13" s="1" customFormat="1" ht="17.25" customHeight="1" x14ac:dyDescent="0.15"/>
    <row r="91" spans="1:13" s="1" customFormat="1" ht="13.5" customHeight="1" x14ac:dyDescent="0.15">
      <c r="A91" s="3" t="s">
        <v>47</v>
      </c>
      <c r="B91" s="4"/>
      <c r="C91" s="4"/>
      <c r="D91" s="4"/>
      <c r="E91" s="3"/>
      <c r="F91" s="4"/>
      <c r="G91" s="4"/>
      <c r="H91" s="4"/>
      <c r="I91" s="4"/>
      <c r="L91" s="4"/>
      <c r="M91" s="4"/>
    </row>
    <row r="92" spans="1:13" s="1" customFormat="1" ht="13.5" thickBo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1" customFormat="1" ht="12.75" x14ac:dyDescent="0.15">
      <c r="A93" s="5" t="s">
        <v>3</v>
      </c>
      <c r="B93" s="6" t="s">
        <v>4</v>
      </c>
      <c r="C93" s="6" t="s">
        <v>5</v>
      </c>
      <c r="D93" s="6" t="s">
        <v>6</v>
      </c>
      <c r="E93" s="6" t="s">
        <v>7</v>
      </c>
      <c r="F93" s="6" t="s">
        <v>8</v>
      </c>
      <c r="G93" s="7" t="s">
        <v>9</v>
      </c>
      <c r="H93" s="6" t="s">
        <v>10</v>
      </c>
      <c r="I93" s="7" t="s">
        <v>11</v>
      </c>
      <c r="J93" s="6" t="s">
        <v>12</v>
      </c>
      <c r="K93" s="7" t="s">
        <v>13</v>
      </c>
      <c r="L93" s="5" t="s">
        <v>14</v>
      </c>
      <c r="M93" s="6" t="s">
        <v>15</v>
      </c>
    </row>
    <row r="94" spans="1:13" s="1" customFormat="1" ht="13.5" thickBot="1" x14ac:dyDescent="0.2">
      <c r="A94" s="8" t="s">
        <v>16</v>
      </c>
      <c r="B94" s="9">
        <v>3.75</v>
      </c>
      <c r="C94" s="10" t="s">
        <v>17</v>
      </c>
      <c r="D94" s="9" t="s">
        <v>38</v>
      </c>
      <c r="E94" s="10" t="s">
        <v>17</v>
      </c>
      <c r="F94" s="9" t="s">
        <v>39</v>
      </c>
      <c r="G94" s="11" t="s">
        <v>17</v>
      </c>
      <c r="H94" s="27" t="s">
        <v>40</v>
      </c>
      <c r="I94" s="11" t="s">
        <v>17</v>
      </c>
      <c r="J94" s="9" t="s">
        <v>41</v>
      </c>
      <c r="K94" s="11" t="s">
        <v>17</v>
      </c>
      <c r="L94" s="12" t="s">
        <v>42</v>
      </c>
      <c r="M94" s="10" t="s">
        <v>17</v>
      </c>
    </row>
    <row r="95" spans="1:13" s="1" customFormat="1" ht="12.75" x14ac:dyDescent="0.15">
      <c r="A95" s="13">
        <v>44470</v>
      </c>
      <c r="B95" s="14">
        <v>110484</v>
      </c>
      <c r="C95" s="15">
        <f>SUM(B95*B94)</f>
        <v>414315</v>
      </c>
      <c r="D95" s="14">
        <v>2014</v>
      </c>
      <c r="E95" s="15">
        <v>20028.5</v>
      </c>
      <c r="F95" s="14">
        <v>1854</v>
      </c>
      <c r="G95" s="15">
        <v>25732.5</v>
      </c>
      <c r="H95" s="14">
        <v>132</v>
      </c>
      <c r="I95" s="15">
        <v>2081</v>
      </c>
      <c r="J95" s="14">
        <v>13918</v>
      </c>
      <c r="K95" s="15">
        <v>275871.75</v>
      </c>
      <c r="L95" s="14">
        <v>1286</v>
      </c>
      <c r="M95" s="15">
        <v>30508.5</v>
      </c>
    </row>
    <row r="96" spans="1:13" s="1" customFormat="1" ht="12.75" x14ac:dyDescent="0.15">
      <c r="A96" s="13">
        <v>44501</v>
      </c>
      <c r="B96" s="14">
        <v>116879</v>
      </c>
      <c r="C96" s="15">
        <f>SUM(B96*B94)</f>
        <v>438296.25</v>
      </c>
      <c r="D96" s="14">
        <v>1849</v>
      </c>
      <c r="E96" s="15">
        <v>18450.5</v>
      </c>
      <c r="F96" s="14">
        <v>1921</v>
      </c>
      <c r="G96" s="15">
        <v>26785.5</v>
      </c>
      <c r="H96" s="14">
        <v>127</v>
      </c>
      <c r="I96" s="15">
        <v>1982.5</v>
      </c>
      <c r="J96" s="14">
        <v>14217</v>
      </c>
      <c r="K96" s="15">
        <v>281578</v>
      </c>
      <c r="L96" s="14">
        <v>1570</v>
      </c>
      <c r="M96" s="15">
        <v>37431.75</v>
      </c>
    </row>
    <row r="97" spans="1:13" s="1" customFormat="1" ht="12.75" x14ac:dyDescent="0.15">
      <c r="A97" s="13">
        <v>44531</v>
      </c>
      <c r="B97" s="14">
        <v>132208</v>
      </c>
      <c r="C97" s="15">
        <f>SUM(B97*B94)</f>
        <v>495780</v>
      </c>
      <c r="D97" s="14">
        <v>1757</v>
      </c>
      <c r="E97" s="15">
        <v>17602</v>
      </c>
      <c r="F97" s="14">
        <v>1718</v>
      </c>
      <c r="G97" s="15">
        <v>23820</v>
      </c>
      <c r="H97" s="14">
        <v>100</v>
      </c>
      <c r="I97" s="15">
        <v>1551.75</v>
      </c>
      <c r="J97" s="14">
        <v>13183</v>
      </c>
      <c r="K97" s="15">
        <v>261181.25</v>
      </c>
      <c r="L97" s="14">
        <v>2365</v>
      </c>
      <c r="M97" s="15">
        <v>56519.25</v>
      </c>
    </row>
    <row r="98" spans="1:13" s="1" customFormat="1" ht="12.75" x14ac:dyDescent="0.15">
      <c r="A98" s="13">
        <v>44562</v>
      </c>
      <c r="B98" s="14">
        <v>112589</v>
      </c>
      <c r="C98" s="15">
        <f>SUM(B98*B94)</f>
        <v>422208.75</v>
      </c>
      <c r="D98" s="14">
        <v>1681</v>
      </c>
      <c r="E98" s="15">
        <v>16739</v>
      </c>
      <c r="F98" s="14">
        <v>1669</v>
      </c>
      <c r="G98" s="15">
        <v>23247</v>
      </c>
      <c r="H98" s="14">
        <v>105</v>
      </c>
      <c r="I98" s="15">
        <v>1631</v>
      </c>
      <c r="J98" s="14">
        <v>13581</v>
      </c>
      <c r="K98" s="15">
        <v>269051.75</v>
      </c>
      <c r="L98" s="14">
        <v>2531</v>
      </c>
      <c r="M98" s="15">
        <v>60821.5</v>
      </c>
    </row>
    <row r="99" spans="1:13" s="1" customFormat="1" ht="12.75" x14ac:dyDescent="0.15">
      <c r="A99" s="13">
        <v>44593</v>
      </c>
      <c r="B99" s="14">
        <v>118468</v>
      </c>
      <c r="C99" s="15">
        <f>SUM(B99*B94)</f>
        <v>444255</v>
      </c>
      <c r="D99" s="14">
        <v>1666</v>
      </c>
      <c r="E99" s="15">
        <v>16622</v>
      </c>
      <c r="F99" s="14">
        <v>1646</v>
      </c>
      <c r="G99" s="15">
        <v>22944</v>
      </c>
      <c r="H99" s="14">
        <v>108</v>
      </c>
      <c r="I99" s="15">
        <v>1686.25</v>
      </c>
      <c r="J99" s="14">
        <v>13073</v>
      </c>
      <c r="K99" s="15">
        <v>259388.25</v>
      </c>
      <c r="L99" s="14">
        <v>2669</v>
      </c>
      <c r="M99" s="15">
        <v>64698.5</v>
      </c>
    </row>
    <row r="100" spans="1:13" s="1" customFormat="1" ht="12.75" x14ac:dyDescent="0.15">
      <c r="A100" s="13">
        <v>44621</v>
      </c>
      <c r="B100" s="14">
        <v>0</v>
      </c>
      <c r="C100" s="15">
        <f>SUM(B100*B94)</f>
        <v>0</v>
      </c>
      <c r="D100" s="14">
        <v>0</v>
      </c>
      <c r="E100" s="15">
        <v>0</v>
      </c>
      <c r="F100" s="14">
        <v>0</v>
      </c>
      <c r="G100" s="15">
        <v>0</v>
      </c>
      <c r="H100" s="14">
        <v>0</v>
      </c>
      <c r="I100" s="15">
        <v>0</v>
      </c>
      <c r="J100" s="14">
        <v>0</v>
      </c>
      <c r="K100" s="15">
        <v>0</v>
      </c>
      <c r="L100" s="14">
        <v>0</v>
      </c>
      <c r="M100" s="15">
        <v>0</v>
      </c>
    </row>
    <row r="101" spans="1:13" s="1" customFormat="1" ht="12.75" x14ac:dyDescent="0.15">
      <c r="A101" s="13">
        <v>44652</v>
      </c>
      <c r="B101" s="14">
        <v>0</v>
      </c>
      <c r="C101" s="15">
        <f>SUM(B101*B94)</f>
        <v>0</v>
      </c>
      <c r="D101" s="14">
        <v>0</v>
      </c>
      <c r="E101" s="15">
        <v>0</v>
      </c>
      <c r="F101" s="14">
        <v>0</v>
      </c>
      <c r="G101" s="15">
        <v>0</v>
      </c>
      <c r="H101" s="14">
        <v>0</v>
      </c>
      <c r="I101" s="15">
        <v>0</v>
      </c>
      <c r="J101" s="14">
        <v>0</v>
      </c>
      <c r="K101" s="15">
        <v>0</v>
      </c>
      <c r="L101" s="14">
        <v>0</v>
      </c>
      <c r="M101" s="15">
        <v>0</v>
      </c>
    </row>
    <row r="102" spans="1:13" s="1" customFormat="1" ht="12.75" x14ac:dyDescent="0.15">
      <c r="A102" s="13">
        <v>44682</v>
      </c>
      <c r="B102" s="14">
        <v>0</v>
      </c>
      <c r="C102" s="15">
        <f>SUM(B102*B94)</f>
        <v>0</v>
      </c>
      <c r="D102" s="14">
        <v>0</v>
      </c>
      <c r="E102" s="15">
        <v>0</v>
      </c>
      <c r="F102" s="14">
        <v>0</v>
      </c>
      <c r="G102" s="15">
        <v>0</v>
      </c>
      <c r="H102" s="14">
        <v>0</v>
      </c>
      <c r="I102" s="15">
        <v>0</v>
      </c>
      <c r="J102" s="14">
        <v>0</v>
      </c>
      <c r="K102" s="15">
        <v>0</v>
      </c>
      <c r="L102" s="14">
        <v>0</v>
      </c>
      <c r="M102" s="15">
        <v>0</v>
      </c>
    </row>
    <row r="103" spans="1:13" s="1" customFormat="1" ht="12.75" x14ac:dyDescent="0.15">
      <c r="A103" s="13">
        <v>44713</v>
      </c>
      <c r="B103" s="14">
        <v>0</v>
      </c>
      <c r="C103" s="15">
        <f>SUM(B103*B94)</f>
        <v>0</v>
      </c>
      <c r="D103" s="14">
        <v>0</v>
      </c>
      <c r="E103" s="15">
        <v>0</v>
      </c>
      <c r="F103" s="14">
        <v>0</v>
      </c>
      <c r="G103" s="15">
        <v>0</v>
      </c>
      <c r="H103" s="14">
        <v>0</v>
      </c>
      <c r="I103" s="15">
        <v>0</v>
      </c>
      <c r="J103" s="14">
        <v>0</v>
      </c>
      <c r="K103" s="15">
        <v>0</v>
      </c>
      <c r="L103" s="14">
        <v>0</v>
      </c>
      <c r="M103" s="15">
        <v>0</v>
      </c>
    </row>
    <row r="104" spans="1:13" s="1" customFormat="1" ht="12.75" x14ac:dyDescent="0.15">
      <c r="A104" s="13">
        <v>44743</v>
      </c>
      <c r="B104" s="14">
        <v>0</v>
      </c>
      <c r="C104" s="15">
        <f>SUM(B104*B94)</f>
        <v>0</v>
      </c>
      <c r="D104" s="14">
        <v>0</v>
      </c>
      <c r="E104" s="15">
        <v>0</v>
      </c>
      <c r="F104" s="14">
        <v>0</v>
      </c>
      <c r="G104" s="15">
        <v>0</v>
      </c>
      <c r="H104" s="14">
        <v>0</v>
      </c>
      <c r="I104" s="15">
        <v>0</v>
      </c>
      <c r="J104" s="14">
        <v>0</v>
      </c>
      <c r="K104" s="15">
        <v>0</v>
      </c>
      <c r="L104" s="14">
        <v>0</v>
      </c>
      <c r="M104" s="15">
        <v>0</v>
      </c>
    </row>
    <row r="105" spans="1:13" s="1" customFormat="1" ht="12.75" x14ac:dyDescent="0.15">
      <c r="A105" s="13">
        <v>44774</v>
      </c>
      <c r="B105" s="14">
        <v>0</v>
      </c>
      <c r="C105" s="15">
        <f>SUM(B105*B94)</f>
        <v>0</v>
      </c>
      <c r="D105" s="14">
        <v>0</v>
      </c>
      <c r="E105" s="15">
        <v>0</v>
      </c>
      <c r="F105" s="14">
        <v>0</v>
      </c>
      <c r="G105" s="15">
        <v>0</v>
      </c>
      <c r="H105" s="14">
        <v>0</v>
      </c>
      <c r="I105" s="15">
        <v>0</v>
      </c>
      <c r="J105" s="14">
        <v>0</v>
      </c>
      <c r="K105" s="15">
        <v>0</v>
      </c>
      <c r="L105" s="14">
        <v>0</v>
      </c>
      <c r="M105" s="15">
        <v>0</v>
      </c>
    </row>
    <row r="106" spans="1:13" s="1" customFormat="1" ht="12.75" x14ac:dyDescent="0.15">
      <c r="A106" s="13">
        <v>44805</v>
      </c>
      <c r="B106" s="14">
        <v>0</v>
      </c>
      <c r="C106" s="15">
        <f>B106*B94</f>
        <v>0</v>
      </c>
      <c r="D106" s="14">
        <v>0</v>
      </c>
      <c r="E106" s="15">
        <v>0</v>
      </c>
      <c r="F106" s="14">
        <v>0</v>
      </c>
      <c r="G106" s="15">
        <v>0</v>
      </c>
      <c r="H106" s="14">
        <v>0</v>
      </c>
      <c r="I106" s="15">
        <v>0</v>
      </c>
      <c r="J106" s="14">
        <v>0</v>
      </c>
      <c r="K106" s="15">
        <v>0</v>
      </c>
      <c r="L106" s="14">
        <v>0</v>
      </c>
      <c r="M106" s="15">
        <v>0</v>
      </c>
    </row>
    <row r="107" spans="1:13" s="1" customFormat="1" ht="13.5" thickBot="1" x14ac:dyDescent="0.2">
      <c r="A107" s="16" t="s">
        <v>46</v>
      </c>
      <c r="B107" s="17">
        <f t="shared" ref="B107:M107" si="8">SUM(B95:B106)</f>
        <v>590628</v>
      </c>
      <c r="C107" s="18">
        <f t="shared" si="8"/>
        <v>2214855</v>
      </c>
      <c r="D107" s="17">
        <f t="shared" si="8"/>
        <v>8967</v>
      </c>
      <c r="E107" s="18">
        <f t="shared" si="8"/>
        <v>89442</v>
      </c>
      <c r="F107" s="17">
        <f t="shared" si="8"/>
        <v>8808</v>
      </c>
      <c r="G107" s="18">
        <f t="shared" si="8"/>
        <v>122529</v>
      </c>
      <c r="H107" s="17">
        <f t="shared" si="8"/>
        <v>572</v>
      </c>
      <c r="I107" s="18">
        <f t="shared" si="8"/>
        <v>8932.5</v>
      </c>
      <c r="J107" s="17">
        <f t="shared" si="8"/>
        <v>67972</v>
      </c>
      <c r="K107" s="18">
        <f t="shared" si="8"/>
        <v>1347071</v>
      </c>
      <c r="L107" s="17">
        <f t="shared" si="8"/>
        <v>10421</v>
      </c>
      <c r="M107" s="18">
        <f t="shared" si="8"/>
        <v>249979.5</v>
      </c>
    </row>
    <row r="108" spans="1:13" s="1" customFormat="1" ht="12.75" thickBot="1" x14ac:dyDescent="0.2"/>
    <row r="109" spans="1:13" s="1" customFormat="1" ht="12.75" x14ac:dyDescent="0.15">
      <c r="A109" s="5" t="s">
        <v>3</v>
      </c>
      <c r="B109" s="6" t="s">
        <v>19</v>
      </c>
      <c r="C109" s="6" t="s">
        <v>20</v>
      </c>
      <c r="D109" s="6" t="s">
        <v>21</v>
      </c>
      <c r="E109" s="6" t="s">
        <v>22</v>
      </c>
      <c r="F109" s="6" t="s">
        <v>23</v>
      </c>
      <c r="G109" s="6" t="s">
        <v>24</v>
      </c>
      <c r="H109" s="6" t="s">
        <v>25</v>
      </c>
      <c r="I109" s="6" t="s">
        <v>26</v>
      </c>
      <c r="J109" s="6" t="s">
        <v>27</v>
      </c>
      <c r="K109" s="6" t="s">
        <v>28</v>
      </c>
      <c r="L109" s="6" t="s">
        <v>29</v>
      </c>
      <c r="M109" s="6" t="s">
        <v>29</v>
      </c>
    </row>
    <row r="110" spans="1:13" s="1" customFormat="1" ht="13.5" thickBot="1" x14ac:dyDescent="0.2">
      <c r="A110" s="8" t="s">
        <v>16</v>
      </c>
      <c r="B110" s="9">
        <v>1</v>
      </c>
      <c r="C110" s="10" t="s">
        <v>17</v>
      </c>
      <c r="D110" s="9" t="s">
        <v>30</v>
      </c>
      <c r="E110" s="10" t="s">
        <v>17</v>
      </c>
      <c r="F110" s="9">
        <v>10</v>
      </c>
      <c r="G110" s="10" t="s">
        <v>17</v>
      </c>
      <c r="H110" s="9">
        <v>1</v>
      </c>
      <c r="I110" s="10" t="s">
        <v>17</v>
      </c>
      <c r="J110" s="10"/>
      <c r="K110" s="10" t="s">
        <v>17</v>
      </c>
      <c r="L110" s="10" t="s">
        <v>31</v>
      </c>
      <c r="M110" s="10" t="s">
        <v>32</v>
      </c>
    </row>
    <row r="111" spans="1:13" s="1" customFormat="1" ht="12.75" x14ac:dyDescent="0.15">
      <c r="A111" s="13">
        <v>44470</v>
      </c>
      <c r="B111" s="14">
        <v>1034</v>
      </c>
      <c r="C111" s="20">
        <f>SUM(B111*B110)</f>
        <v>1034</v>
      </c>
      <c r="D111" s="14">
        <v>0</v>
      </c>
      <c r="E111" s="20">
        <v>0</v>
      </c>
      <c r="F111" s="14">
        <v>9</v>
      </c>
      <c r="G111" s="20">
        <f>F111*F110</f>
        <v>90</v>
      </c>
      <c r="H111" s="14">
        <v>105</v>
      </c>
      <c r="I111" s="20">
        <f>SUM(H111*H110)</f>
        <v>105</v>
      </c>
      <c r="J111" s="14">
        <f>4+243+255</f>
        <v>502</v>
      </c>
      <c r="K111" s="20">
        <f>213+729+892.5+5390.08+1</f>
        <v>7225.58</v>
      </c>
      <c r="L111" s="21">
        <f t="shared" ref="L111:L122" si="9">B95+D95+F95+H95+J95+L95+B111+D111+F111+H111+J111</f>
        <v>131338</v>
      </c>
      <c r="M111" s="22">
        <f t="shared" ref="M111:M122" si="10">C95+E95+G95+I95+K95+M95+C111+E111+G111+I111+K111</f>
        <v>776991.83</v>
      </c>
    </row>
    <row r="112" spans="1:13" s="1" customFormat="1" ht="12.75" x14ac:dyDescent="0.15">
      <c r="A112" s="13">
        <v>44501</v>
      </c>
      <c r="B112" s="14">
        <v>1058</v>
      </c>
      <c r="C112" s="20">
        <f>SUM(B112*B110)</f>
        <v>1058</v>
      </c>
      <c r="D112" s="14">
        <v>0</v>
      </c>
      <c r="E112" s="20">
        <v>0</v>
      </c>
      <c r="F112" s="14">
        <v>5</v>
      </c>
      <c r="G112" s="20">
        <f>F112*F110</f>
        <v>50</v>
      </c>
      <c r="H112" s="14">
        <v>171</v>
      </c>
      <c r="I112" s="20">
        <f>SUM(H112*H110)</f>
        <v>171</v>
      </c>
      <c r="J112" s="14">
        <f>4+239+286</f>
        <v>529</v>
      </c>
      <c r="K112" s="20">
        <f>141+717+1001+6644.29+10</f>
        <v>8513.2900000000009</v>
      </c>
      <c r="L112" s="21">
        <f t="shared" si="9"/>
        <v>138326</v>
      </c>
      <c r="M112" s="22">
        <f t="shared" si="10"/>
        <v>814316.79</v>
      </c>
    </row>
    <row r="113" spans="1:13" s="1" customFormat="1" ht="12.75" x14ac:dyDescent="0.15">
      <c r="A113" s="13">
        <v>44531</v>
      </c>
      <c r="B113" s="14">
        <v>1137</v>
      </c>
      <c r="C113" s="20">
        <f>SUM(B113*B110)</f>
        <v>1137</v>
      </c>
      <c r="D113" s="14">
        <v>0</v>
      </c>
      <c r="E113" s="20">
        <v>0</v>
      </c>
      <c r="F113" s="14">
        <v>11</v>
      </c>
      <c r="G113" s="20">
        <f>F113*F110</f>
        <v>110</v>
      </c>
      <c r="H113" s="14">
        <v>226</v>
      </c>
      <c r="I113" s="20">
        <f>SUM(H113*H110)</f>
        <v>226</v>
      </c>
      <c r="J113" s="14">
        <f>4+503+238</f>
        <v>745</v>
      </c>
      <c r="K113" s="20">
        <f>120+1509+833+45+7482.88</f>
        <v>9989.880000000001</v>
      </c>
      <c r="L113" s="21">
        <f t="shared" si="9"/>
        <v>153450</v>
      </c>
      <c r="M113" s="22">
        <f t="shared" si="10"/>
        <v>867917.13</v>
      </c>
    </row>
    <row r="114" spans="1:13" s="1" customFormat="1" ht="12.75" x14ac:dyDescent="0.15">
      <c r="A114" s="13">
        <v>44562</v>
      </c>
      <c r="B114" s="14">
        <v>948</v>
      </c>
      <c r="C114" s="20">
        <f>SUM(B114*B110)</f>
        <v>948</v>
      </c>
      <c r="D114" s="14">
        <v>0</v>
      </c>
      <c r="E114" s="20">
        <v>0</v>
      </c>
      <c r="F114" s="14">
        <v>9</v>
      </c>
      <c r="G114" s="20">
        <f>F114*F110</f>
        <v>90</v>
      </c>
      <c r="H114" s="14">
        <v>132</v>
      </c>
      <c r="I114" s="20">
        <f>SUM(H114*H110)</f>
        <v>132</v>
      </c>
      <c r="J114" s="14">
        <f>1+258+229</f>
        <v>488</v>
      </c>
      <c r="K114" s="20">
        <f>37+774+801.5+6699.86+5</f>
        <v>8317.36</v>
      </c>
      <c r="L114" s="21">
        <f t="shared" si="9"/>
        <v>133733</v>
      </c>
      <c r="M114" s="22">
        <f t="shared" si="10"/>
        <v>803186.36</v>
      </c>
    </row>
    <row r="115" spans="1:13" s="1" customFormat="1" ht="12.75" x14ac:dyDescent="0.15">
      <c r="A115" s="13">
        <v>44593</v>
      </c>
      <c r="B115" s="14">
        <v>804</v>
      </c>
      <c r="C115" s="20">
        <f>SUM(B115*B110)</f>
        <v>804</v>
      </c>
      <c r="D115" s="14">
        <v>0</v>
      </c>
      <c r="E115" s="20">
        <v>0</v>
      </c>
      <c r="F115" s="14">
        <v>4</v>
      </c>
      <c r="G115" s="20">
        <f>F115*F110</f>
        <v>40</v>
      </c>
      <c r="H115" s="14">
        <v>182</v>
      </c>
      <c r="I115" s="20">
        <f>SUM(H115*H110)</f>
        <v>182</v>
      </c>
      <c r="J115" s="14">
        <f>287+228</f>
        <v>515</v>
      </c>
      <c r="K115" s="20">
        <f>861+798+7102.27</f>
        <v>8761.27</v>
      </c>
      <c r="L115" s="21">
        <f t="shared" si="9"/>
        <v>139135</v>
      </c>
      <c r="M115" s="22">
        <f t="shared" si="10"/>
        <v>819381.27</v>
      </c>
    </row>
    <row r="116" spans="1:13" s="1" customFormat="1" ht="12.75" x14ac:dyDescent="0.15">
      <c r="A116" s="13">
        <v>44621</v>
      </c>
      <c r="B116" s="14">
        <v>0</v>
      </c>
      <c r="C116" s="20">
        <f>SUM(B116*B110)</f>
        <v>0</v>
      </c>
      <c r="D116" s="14">
        <v>0</v>
      </c>
      <c r="E116" s="20">
        <v>0</v>
      </c>
      <c r="F116" s="14">
        <v>0</v>
      </c>
      <c r="G116" s="20">
        <f>F116*F110</f>
        <v>0</v>
      </c>
      <c r="H116" s="14">
        <v>0</v>
      </c>
      <c r="I116" s="20">
        <f>SUM(H116*H110)</f>
        <v>0</v>
      </c>
      <c r="J116" s="14">
        <v>0</v>
      </c>
      <c r="K116" s="20">
        <v>0</v>
      </c>
      <c r="L116" s="21">
        <f t="shared" si="9"/>
        <v>0</v>
      </c>
      <c r="M116" s="22">
        <f t="shared" si="10"/>
        <v>0</v>
      </c>
    </row>
    <row r="117" spans="1:13" s="1" customFormat="1" ht="12.75" x14ac:dyDescent="0.15">
      <c r="A117" s="13">
        <v>44652</v>
      </c>
      <c r="B117" s="14">
        <v>0</v>
      </c>
      <c r="C117" s="20">
        <f>SUM(B117*B110)</f>
        <v>0</v>
      </c>
      <c r="D117" s="14">
        <v>0</v>
      </c>
      <c r="E117" s="20">
        <v>0</v>
      </c>
      <c r="F117" s="14">
        <v>0</v>
      </c>
      <c r="G117" s="20">
        <f>F117*F110</f>
        <v>0</v>
      </c>
      <c r="H117" s="14">
        <v>0</v>
      </c>
      <c r="I117" s="20">
        <f>SUM(H117*H110)</f>
        <v>0</v>
      </c>
      <c r="J117" s="14">
        <v>0</v>
      </c>
      <c r="K117" s="20">
        <v>0</v>
      </c>
      <c r="L117" s="21">
        <f t="shared" si="9"/>
        <v>0</v>
      </c>
      <c r="M117" s="22">
        <f t="shared" si="10"/>
        <v>0</v>
      </c>
    </row>
    <row r="118" spans="1:13" s="1" customFormat="1" ht="12.75" x14ac:dyDescent="0.15">
      <c r="A118" s="13">
        <v>44682</v>
      </c>
      <c r="B118" s="14">
        <v>0</v>
      </c>
      <c r="C118" s="20">
        <f>SUM(B118*B110)</f>
        <v>0</v>
      </c>
      <c r="D118" s="14">
        <v>0</v>
      </c>
      <c r="E118" s="20">
        <v>0</v>
      </c>
      <c r="F118" s="14">
        <v>0</v>
      </c>
      <c r="G118" s="20">
        <f>F118*F110</f>
        <v>0</v>
      </c>
      <c r="H118" s="14">
        <v>0</v>
      </c>
      <c r="I118" s="20">
        <f>SUM(H118*H110)</f>
        <v>0</v>
      </c>
      <c r="J118" s="14">
        <v>0</v>
      </c>
      <c r="K118" s="20">
        <v>0</v>
      </c>
      <c r="L118" s="21">
        <f t="shared" si="9"/>
        <v>0</v>
      </c>
      <c r="M118" s="22">
        <f t="shared" si="10"/>
        <v>0</v>
      </c>
    </row>
    <row r="119" spans="1:13" s="1" customFormat="1" ht="12.75" x14ac:dyDescent="0.15">
      <c r="A119" s="13">
        <v>44713</v>
      </c>
      <c r="B119" s="14">
        <v>0</v>
      </c>
      <c r="C119" s="20">
        <f>SUM(B119*B110)</f>
        <v>0</v>
      </c>
      <c r="D119" s="14">
        <v>0</v>
      </c>
      <c r="E119" s="20">
        <v>0</v>
      </c>
      <c r="F119" s="14">
        <v>0</v>
      </c>
      <c r="G119" s="20">
        <f>F119*F110</f>
        <v>0</v>
      </c>
      <c r="H119" s="14">
        <v>0</v>
      </c>
      <c r="I119" s="20">
        <f>SUM(H119*H110)</f>
        <v>0</v>
      </c>
      <c r="J119" s="14">
        <v>0</v>
      </c>
      <c r="K119" s="20">
        <v>0</v>
      </c>
      <c r="L119" s="21">
        <f t="shared" si="9"/>
        <v>0</v>
      </c>
      <c r="M119" s="22">
        <f t="shared" si="10"/>
        <v>0</v>
      </c>
    </row>
    <row r="120" spans="1:13" s="1" customFormat="1" ht="12.75" x14ac:dyDescent="0.15">
      <c r="A120" s="13">
        <v>44743</v>
      </c>
      <c r="B120" s="14">
        <v>0</v>
      </c>
      <c r="C120" s="20">
        <f>SUM(B120*B110)</f>
        <v>0</v>
      </c>
      <c r="D120" s="14">
        <v>0</v>
      </c>
      <c r="E120" s="20">
        <v>0</v>
      </c>
      <c r="F120" s="14">
        <v>0</v>
      </c>
      <c r="G120" s="20">
        <f>F120*F110</f>
        <v>0</v>
      </c>
      <c r="H120" s="14">
        <v>0</v>
      </c>
      <c r="I120" s="20">
        <f>SUM(H120*H110)</f>
        <v>0</v>
      </c>
      <c r="J120" s="14">
        <v>0</v>
      </c>
      <c r="K120" s="20">
        <v>0</v>
      </c>
      <c r="L120" s="21">
        <f t="shared" si="9"/>
        <v>0</v>
      </c>
      <c r="M120" s="22">
        <f t="shared" si="10"/>
        <v>0</v>
      </c>
    </row>
    <row r="121" spans="1:13" s="1" customFormat="1" ht="12.75" x14ac:dyDescent="0.15">
      <c r="A121" s="13">
        <v>44774</v>
      </c>
      <c r="B121" s="14">
        <v>0</v>
      </c>
      <c r="C121" s="20">
        <f>SUM(B121*B110)</f>
        <v>0</v>
      </c>
      <c r="D121" s="14">
        <v>0</v>
      </c>
      <c r="E121" s="20">
        <v>0</v>
      </c>
      <c r="F121" s="14">
        <v>0</v>
      </c>
      <c r="G121" s="20">
        <f>F121*F110</f>
        <v>0</v>
      </c>
      <c r="H121" s="14">
        <v>0</v>
      </c>
      <c r="I121" s="20">
        <f>SUM(H121*H110)</f>
        <v>0</v>
      </c>
      <c r="J121" s="14">
        <v>0</v>
      </c>
      <c r="K121" s="20">
        <v>0</v>
      </c>
      <c r="L121" s="21">
        <f t="shared" si="9"/>
        <v>0</v>
      </c>
      <c r="M121" s="22">
        <f t="shared" si="10"/>
        <v>0</v>
      </c>
    </row>
    <row r="122" spans="1:13" s="1" customFormat="1" ht="12.75" x14ac:dyDescent="0.15">
      <c r="A122" s="13">
        <v>44805</v>
      </c>
      <c r="B122" s="14">
        <v>0</v>
      </c>
      <c r="C122" s="20">
        <f>SUM(B122*B110)</f>
        <v>0</v>
      </c>
      <c r="D122" s="14">
        <v>0</v>
      </c>
      <c r="E122" s="20">
        <v>0</v>
      </c>
      <c r="F122" s="14">
        <v>0</v>
      </c>
      <c r="G122" s="20">
        <f>F122*F110</f>
        <v>0</v>
      </c>
      <c r="H122" s="14">
        <v>0</v>
      </c>
      <c r="I122" s="20">
        <f>SUM(H122*H110)</f>
        <v>0</v>
      </c>
      <c r="J122" s="14">
        <v>0</v>
      </c>
      <c r="K122" s="20">
        <v>0</v>
      </c>
      <c r="L122" s="21">
        <f t="shared" si="9"/>
        <v>0</v>
      </c>
      <c r="M122" s="22">
        <f t="shared" si="10"/>
        <v>0</v>
      </c>
    </row>
    <row r="123" spans="1:13" s="1" customFormat="1" ht="13.5" thickBot="1" x14ac:dyDescent="0.2">
      <c r="A123" s="16" t="s">
        <v>46</v>
      </c>
      <c r="B123" s="17">
        <f t="shared" ref="B123:M123" si="11">SUM(B111:B122)</f>
        <v>4981</v>
      </c>
      <c r="C123" s="23">
        <f t="shared" si="11"/>
        <v>4981</v>
      </c>
      <c r="D123" s="19">
        <f t="shared" si="11"/>
        <v>0</v>
      </c>
      <c r="E123" s="23">
        <f t="shared" si="11"/>
        <v>0</v>
      </c>
      <c r="F123" s="19">
        <f t="shared" si="11"/>
        <v>38</v>
      </c>
      <c r="G123" s="23">
        <f t="shared" si="11"/>
        <v>380</v>
      </c>
      <c r="H123" s="19">
        <f t="shared" si="11"/>
        <v>816</v>
      </c>
      <c r="I123" s="23">
        <f t="shared" si="11"/>
        <v>816</v>
      </c>
      <c r="J123" s="17">
        <f t="shared" si="11"/>
        <v>2779</v>
      </c>
      <c r="K123" s="23">
        <f t="shared" si="11"/>
        <v>42807.380000000005</v>
      </c>
      <c r="L123" s="24">
        <f t="shared" si="11"/>
        <v>695982</v>
      </c>
      <c r="M123" s="25">
        <f t="shared" si="11"/>
        <v>4081793.38</v>
      </c>
    </row>
    <row r="124" spans="1:13" s="1" customFormat="1" x14ac:dyDescent="0.15"/>
    <row r="125" spans="1:13" s="1" customFormat="1" ht="15" customHeight="1" x14ac:dyDescent="0.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s="1" customFormat="1" x14ac:dyDescent="0.15">
      <c r="A126" s="26"/>
    </row>
    <row r="127" spans="1:13" s="1" customFormat="1" ht="15.75" x14ac:dyDescent="0.15">
      <c r="A127" s="3" t="s">
        <v>33</v>
      </c>
    </row>
    <row r="128" spans="1:13" s="1" customFormat="1" ht="17.25" customHeight="1" x14ac:dyDescent="0.15">
      <c r="A128" s="28" t="s">
        <v>36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s="1" customFormat="1" ht="17.25" customHeight="1" x14ac:dyDescent="0.15">
      <c r="A129" s="29" t="s">
        <v>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s="1" customFormat="1" ht="17.2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1" customFormat="1" ht="17.25" customHeight="1" x14ac:dyDescent="0.15"/>
    <row r="132" spans="1:13" s="1" customFormat="1" ht="17.25" customHeight="1" x14ac:dyDescent="0.15"/>
    <row r="133" spans="1:13" s="1" customFormat="1" ht="13.5" customHeight="1" x14ac:dyDescent="0.15">
      <c r="A133" s="3" t="s">
        <v>47</v>
      </c>
      <c r="B133" s="4"/>
      <c r="C133" s="4"/>
      <c r="D133" s="4"/>
      <c r="E133" s="3"/>
      <c r="F133" s="4"/>
      <c r="G133" s="4"/>
      <c r="H133" s="4"/>
      <c r="I133" s="4"/>
      <c r="L133" s="4"/>
      <c r="M133" s="4"/>
    </row>
    <row r="134" spans="1:13" ht="13.5" thickBo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2.75" x14ac:dyDescent="0.15">
      <c r="A135" s="5" t="s">
        <v>3</v>
      </c>
      <c r="B135" s="6" t="s">
        <v>4</v>
      </c>
      <c r="C135" s="6" t="s">
        <v>5</v>
      </c>
      <c r="D135" s="6" t="s">
        <v>6</v>
      </c>
      <c r="E135" s="6" t="s">
        <v>7</v>
      </c>
      <c r="F135" s="6" t="s">
        <v>8</v>
      </c>
      <c r="G135" s="7" t="s">
        <v>9</v>
      </c>
      <c r="H135" s="6" t="s">
        <v>10</v>
      </c>
      <c r="I135" s="7" t="s">
        <v>11</v>
      </c>
      <c r="J135" s="6" t="s">
        <v>12</v>
      </c>
      <c r="K135" s="7" t="s">
        <v>13</v>
      </c>
      <c r="L135" s="5" t="s">
        <v>14</v>
      </c>
      <c r="M135" s="6" t="s">
        <v>15</v>
      </c>
    </row>
    <row r="136" spans="1:13" ht="13.5" thickBot="1" x14ac:dyDescent="0.2">
      <c r="A136" s="8" t="s">
        <v>16</v>
      </c>
      <c r="B136" s="9">
        <v>3.75</v>
      </c>
      <c r="C136" s="10" t="s">
        <v>17</v>
      </c>
      <c r="D136" s="9" t="s">
        <v>38</v>
      </c>
      <c r="E136" s="10" t="s">
        <v>17</v>
      </c>
      <c r="F136" s="9" t="s">
        <v>39</v>
      </c>
      <c r="G136" s="11" t="s">
        <v>17</v>
      </c>
      <c r="H136" s="27" t="s">
        <v>40</v>
      </c>
      <c r="I136" s="11" t="s">
        <v>17</v>
      </c>
      <c r="J136" s="9" t="s">
        <v>41</v>
      </c>
      <c r="K136" s="11" t="s">
        <v>17</v>
      </c>
      <c r="L136" s="12" t="s">
        <v>42</v>
      </c>
      <c r="M136" s="10" t="s">
        <v>17</v>
      </c>
    </row>
    <row r="137" spans="1:13" ht="12.75" x14ac:dyDescent="0.15">
      <c r="A137" s="13">
        <v>44470</v>
      </c>
      <c r="B137" s="14">
        <f t="shared" ref="B137:M137" si="12">B11+B53+B95</f>
        <v>223144</v>
      </c>
      <c r="C137" s="15">
        <f t="shared" si="12"/>
        <v>836790</v>
      </c>
      <c r="D137" s="14">
        <f t="shared" si="12"/>
        <v>2096</v>
      </c>
      <c r="E137" s="15">
        <f t="shared" si="12"/>
        <v>20858.5</v>
      </c>
      <c r="F137" s="14">
        <f t="shared" si="12"/>
        <v>2188</v>
      </c>
      <c r="G137" s="15">
        <f t="shared" si="12"/>
        <v>30640.5</v>
      </c>
      <c r="H137" s="14">
        <f t="shared" si="12"/>
        <v>135</v>
      </c>
      <c r="I137" s="15">
        <f t="shared" si="12"/>
        <v>2132.75</v>
      </c>
      <c r="J137" s="14">
        <f t="shared" si="12"/>
        <v>14691</v>
      </c>
      <c r="K137" s="15">
        <f t="shared" si="12"/>
        <v>291717.25</v>
      </c>
      <c r="L137" s="14">
        <f t="shared" si="12"/>
        <v>1335</v>
      </c>
      <c r="M137" s="15">
        <f t="shared" si="12"/>
        <v>31651.25</v>
      </c>
    </row>
    <row r="138" spans="1:13" ht="12.75" x14ac:dyDescent="0.15">
      <c r="A138" s="13">
        <v>44501</v>
      </c>
      <c r="B138" s="14">
        <f t="shared" ref="B138:M138" si="13">B12+B54+B96</f>
        <v>242211</v>
      </c>
      <c r="C138" s="15">
        <f t="shared" si="13"/>
        <v>908291.25</v>
      </c>
      <c r="D138" s="14">
        <f t="shared" si="13"/>
        <v>1910</v>
      </c>
      <c r="E138" s="15">
        <f t="shared" si="13"/>
        <v>19070.5</v>
      </c>
      <c r="F138" s="14">
        <f t="shared" si="13"/>
        <v>2201</v>
      </c>
      <c r="G138" s="15">
        <f t="shared" si="13"/>
        <v>30897</v>
      </c>
      <c r="H138" s="14">
        <f t="shared" si="13"/>
        <v>131</v>
      </c>
      <c r="I138" s="15">
        <f t="shared" si="13"/>
        <v>2051.5</v>
      </c>
      <c r="J138" s="14">
        <f t="shared" si="13"/>
        <v>14840</v>
      </c>
      <c r="K138" s="15">
        <f t="shared" si="13"/>
        <v>294186.75</v>
      </c>
      <c r="L138" s="14">
        <f t="shared" si="13"/>
        <v>1620</v>
      </c>
      <c r="M138" s="15">
        <f t="shared" si="13"/>
        <v>38594.25</v>
      </c>
    </row>
    <row r="139" spans="1:13" ht="12.75" x14ac:dyDescent="0.15">
      <c r="A139" s="13">
        <v>44531</v>
      </c>
      <c r="B139" s="14">
        <f t="shared" ref="B139:M139" si="14">B13+B55+B97</f>
        <v>280223</v>
      </c>
      <c r="C139" s="15">
        <f t="shared" si="14"/>
        <v>1050836.25</v>
      </c>
      <c r="D139" s="14">
        <f t="shared" si="14"/>
        <v>1814</v>
      </c>
      <c r="E139" s="15">
        <f t="shared" si="14"/>
        <v>18190</v>
      </c>
      <c r="F139" s="14">
        <f t="shared" si="14"/>
        <v>1924</v>
      </c>
      <c r="G139" s="15">
        <f t="shared" si="14"/>
        <v>26818.5</v>
      </c>
      <c r="H139" s="14">
        <f t="shared" si="14"/>
        <v>108</v>
      </c>
      <c r="I139" s="15">
        <f t="shared" si="14"/>
        <v>1689.75</v>
      </c>
      <c r="J139" s="14">
        <f t="shared" si="14"/>
        <v>13718</v>
      </c>
      <c r="K139" s="15">
        <f t="shared" si="14"/>
        <v>272010.75</v>
      </c>
      <c r="L139" s="14">
        <f t="shared" si="14"/>
        <v>2423</v>
      </c>
      <c r="M139" s="15">
        <f t="shared" si="14"/>
        <v>57871.25</v>
      </c>
    </row>
    <row r="140" spans="1:13" ht="12.75" x14ac:dyDescent="0.15">
      <c r="A140" s="13">
        <v>44562</v>
      </c>
      <c r="B140" s="14">
        <f t="shared" ref="B140:M140" si="15">B14+B56+B98</f>
        <v>229890</v>
      </c>
      <c r="C140" s="15">
        <f t="shared" si="15"/>
        <v>862087.5</v>
      </c>
      <c r="D140" s="14">
        <f t="shared" si="15"/>
        <v>1737</v>
      </c>
      <c r="E140" s="15">
        <f t="shared" si="15"/>
        <v>17320.5</v>
      </c>
      <c r="F140" s="14">
        <f t="shared" si="15"/>
        <v>1853</v>
      </c>
      <c r="G140" s="15">
        <f t="shared" si="15"/>
        <v>25912.5</v>
      </c>
      <c r="H140" s="14">
        <f t="shared" si="15"/>
        <v>112</v>
      </c>
      <c r="I140" s="15">
        <f t="shared" si="15"/>
        <v>1750</v>
      </c>
      <c r="J140" s="14">
        <f t="shared" si="15"/>
        <v>14171</v>
      </c>
      <c r="K140" s="15">
        <f t="shared" si="15"/>
        <v>280918</v>
      </c>
      <c r="L140" s="14">
        <f t="shared" si="15"/>
        <v>2619</v>
      </c>
      <c r="M140" s="15">
        <f t="shared" si="15"/>
        <v>62872.75</v>
      </c>
    </row>
    <row r="141" spans="1:13" ht="12.75" x14ac:dyDescent="0.15">
      <c r="A141" s="13">
        <v>44593</v>
      </c>
      <c r="B141" s="14">
        <f t="shared" ref="B141:M141" si="16">B15+B57+B99</f>
        <v>233378</v>
      </c>
      <c r="C141" s="15">
        <f t="shared" si="16"/>
        <v>875167.5</v>
      </c>
      <c r="D141" s="14">
        <f t="shared" si="16"/>
        <v>1731</v>
      </c>
      <c r="E141" s="15">
        <f t="shared" si="16"/>
        <v>17299.5</v>
      </c>
      <c r="F141" s="14">
        <f t="shared" si="16"/>
        <v>1790</v>
      </c>
      <c r="G141" s="15">
        <f t="shared" si="16"/>
        <v>25036.5</v>
      </c>
      <c r="H141" s="14">
        <f t="shared" si="16"/>
        <v>109</v>
      </c>
      <c r="I141" s="15">
        <f t="shared" si="16"/>
        <v>1703.5</v>
      </c>
      <c r="J141" s="14">
        <f t="shared" si="16"/>
        <v>13645</v>
      </c>
      <c r="K141" s="15">
        <f t="shared" si="16"/>
        <v>270883.25</v>
      </c>
      <c r="L141" s="14">
        <f t="shared" si="16"/>
        <v>2801</v>
      </c>
      <c r="M141" s="15">
        <f t="shared" si="16"/>
        <v>67771</v>
      </c>
    </row>
    <row r="142" spans="1:13" ht="12.75" x14ac:dyDescent="0.15">
      <c r="A142" s="13">
        <v>44621</v>
      </c>
      <c r="B142" s="14">
        <f t="shared" ref="B142:M142" si="17">B16+B58+B100</f>
        <v>0</v>
      </c>
      <c r="C142" s="15">
        <f t="shared" si="17"/>
        <v>0</v>
      </c>
      <c r="D142" s="14">
        <f t="shared" si="17"/>
        <v>0</v>
      </c>
      <c r="E142" s="15">
        <f t="shared" si="17"/>
        <v>0</v>
      </c>
      <c r="F142" s="14">
        <f t="shared" si="17"/>
        <v>0</v>
      </c>
      <c r="G142" s="15">
        <f t="shared" si="17"/>
        <v>0</v>
      </c>
      <c r="H142" s="14">
        <f t="shared" si="17"/>
        <v>0</v>
      </c>
      <c r="I142" s="15">
        <f t="shared" si="17"/>
        <v>0</v>
      </c>
      <c r="J142" s="14">
        <f t="shared" si="17"/>
        <v>0</v>
      </c>
      <c r="K142" s="15">
        <f t="shared" si="17"/>
        <v>0</v>
      </c>
      <c r="L142" s="14">
        <f t="shared" si="17"/>
        <v>0</v>
      </c>
      <c r="M142" s="15">
        <f t="shared" si="17"/>
        <v>0</v>
      </c>
    </row>
    <row r="143" spans="1:13" ht="12.75" x14ac:dyDescent="0.15">
      <c r="A143" s="13">
        <v>44652</v>
      </c>
      <c r="B143" s="14">
        <f t="shared" ref="B143:M143" si="18">B17+B59+B101</f>
        <v>0</v>
      </c>
      <c r="C143" s="15">
        <f t="shared" si="18"/>
        <v>0</v>
      </c>
      <c r="D143" s="14">
        <f t="shared" si="18"/>
        <v>0</v>
      </c>
      <c r="E143" s="15">
        <f t="shared" si="18"/>
        <v>0</v>
      </c>
      <c r="F143" s="14">
        <f t="shared" si="18"/>
        <v>0</v>
      </c>
      <c r="G143" s="15">
        <f t="shared" si="18"/>
        <v>0</v>
      </c>
      <c r="H143" s="14">
        <f t="shared" si="18"/>
        <v>0</v>
      </c>
      <c r="I143" s="15">
        <f t="shared" si="18"/>
        <v>0</v>
      </c>
      <c r="J143" s="14">
        <f t="shared" si="18"/>
        <v>0</v>
      </c>
      <c r="K143" s="15">
        <f t="shared" si="18"/>
        <v>0</v>
      </c>
      <c r="L143" s="14">
        <f t="shared" si="18"/>
        <v>0</v>
      </c>
      <c r="M143" s="15">
        <f t="shared" si="18"/>
        <v>0</v>
      </c>
    </row>
    <row r="144" spans="1:13" ht="12.75" x14ac:dyDescent="0.15">
      <c r="A144" s="13">
        <v>44682</v>
      </c>
      <c r="B144" s="14">
        <f t="shared" ref="B144:M144" si="19">B18+B60+B102</f>
        <v>0</v>
      </c>
      <c r="C144" s="15">
        <f t="shared" si="19"/>
        <v>0</v>
      </c>
      <c r="D144" s="14">
        <f t="shared" si="19"/>
        <v>0</v>
      </c>
      <c r="E144" s="15">
        <f t="shared" si="19"/>
        <v>0</v>
      </c>
      <c r="F144" s="14">
        <f t="shared" si="19"/>
        <v>0</v>
      </c>
      <c r="G144" s="15">
        <f t="shared" si="19"/>
        <v>0</v>
      </c>
      <c r="H144" s="14">
        <f t="shared" si="19"/>
        <v>0</v>
      </c>
      <c r="I144" s="15">
        <f t="shared" si="19"/>
        <v>0</v>
      </c>
      <c r="J144" s="14">
        <f t="shared" si="19"/>
        <v>0</v>
      </c>
      <c r="K144" s="15">
        <f t="shared" si="19"/>
        <v>0</v>
      </c>
      <c r="L144" s="14">
        <f t="shared" si="19"/>
        <v>0</v>
      </c>
      <c r="M144" s="15">
        <f t="shared" si="19"/>
        <v>0</v>
      </c>
    </row>
    <row r="145" spans="1:13" ht="12.75" x14ac:dyDescent="0.15">
      <c r="A145" s="13">
        <v>44713</v>
      </c>
      <c r="B145" s="14">
        <f t="shared" ref="B145:M145" si="20">B19+B61+B103</f>
        <v>0</v>
      </c>
      <c r="C145" s="15">
        <f t="shared" si="20"/>
        <v>0</v>
      </c>
      <c r="D145" s="14">
        <f t="shared" si="20"/>
        <v>0</v>
      </c>
      <c r="E145" s="15">
        <f t="shared" si="20"/>
        <v>0</v>
      </c>
      <c r="F145" s="14">
        <f t="shared" si="20"/>
        <v>0</v>
      </c>
      <c r="G145" s="15">
        <f t="shared" si="20"/>
        <v>0</v>
      </c>
      <c r="H145" s="14">
        <f t="shared" si="20"/>
        <v>0</v>
      </c>
      <c r="I145" s="15">
        <f t="shared" si="20"/>
        <v>0</v>
      </c>
      <c r="J145" s="14">
        <f t="shared" si="20"/>
        <v>0</v>
      </c>
      <c r="K145" s="15">
        <f t="shared" si="20"/>
        <v>0</v>
      </c>
      <c r="L145" s="14">
        <f t="shared" si="20"/>
        <v>0</v>
      </c>
      <c r="M145" s="15">
        <f t="shared" si="20"/>
        <v>0</v>
      </c>
    </row>
    <row r="146" spans="1:13" ht="12.75" x14ac:dyDescent="0.15">
      <c r="A146" s="13">
        <v>44743</v>
      </c>
      <c r="B146" s="14">
        <f t="shared" ref="B146:M146" si="21">B20+B62+B104</f>
        <v>0</v>
      </c>
      <c r="C146" s="15">
        <f t="shared" si="21"/>
        <v>0</v>
      </c>
      <c r="D146" s="14">
        <f t="shared" si="21"/>
        <v>0</v>
      </c>
      <c r="E146" s="15">
        <f t="shared" si="21"/>
        <v>0</v>
      </c>
      <c r="F146" s="14">
        <f t="shared" si="21"/>
        <v>0</v>
      </c>
      <c r="G146" s="15">
        <f t="shared" si="21"/>
        <v>0</v>
      </c>
      <c r="H146" s="14">
        <f t="shared" si="21"/>
        <v>0</v>
      </c>
      <c r="I146" s="15">
        <f t="shared" si="21"/>
        <v>0</v>
      </c>
      <c r="J146" s="14">
        <f t="shared" si="21"/>
        <v>0</v>
      </c>
      <c r="K146" s="15">
        <f t="shared" si="21"/>
        <v>0</v>
      </c>
      <c r="L146" s="14">
        <f t="shared" si="21"/>
        <v>0</v>
      </c>
      <c r="M146" s="15">
        <f t="shared" si="21"/>
        <v>0</v>
      </c>
    </row>
    <row r="147" spans="1:13" ht="12.75" x14ac:dyDescent="0.15">
      <c r="A147" s="13">
        <v>44774</v>
      </c>
      <c r="B147" s="14">
        <f t="shared" ref="B147:M147" si="22">B21+B63+B105</f>
        <v>0</v>
      </c>
      <c r="C147" s="15">
        <f t="shared" si="22"/>
        <v>0</v>
      </c>
      <c r="D147" s="14">
        <f t="shared" si="22"/>
        <v>0</v>
      </c>
      <c r="E147" s="15">
        <f t="shared" si="22"/>
        <v>0</v>
      </c>
      <c r="F147" s="14">
        <f t="shared" si="22"/>
        <v>0</v>
      </c>
      <c r="G147" s="15">
        <f t="shared" si="22"/>
        <v>0</v>
      </c>
      <c r="H147" s="14">
        <f t="shared" si="22"/>
        <v>0</v>
      </c>
      <c r="I147" s="15">
        <f t="shared" si="22"/>
        <v>0</v>
      </c>
      <c r="J147" s="14">
        <f t="shared" si="22"/>
        <v>0</v>
      </c>
      <c r="K147" s="15">
        <f t="shared" si="22"/>
        <v>0</v>
      </c>
      <c r="L147" s="14">
        <f t="shared" si="22"/>
        <v>0</v>
      </c>
      <c r="M147" s="15">
        <f t="shared" si="22"/>
        <v>0</v>
      </c>
    </row>
    <row r="148" spans="1:13" ht="12.75" x14ac:dyDescent="0.15">
      <c r="A148" s="13">
        <v>44805</v>
      </c>
      <c r="B148" s="14">
        <f t="shared" ref="B148:M148" si="23">B22+B64+B106</f>
        <v>0</v>
      </c>
      <c r="C148" s="15">
        <f t="shared" si="23"/>
        <v>0</v>
      </c>
      <c r="D148" s="14">
        <f t="shared" si="23"/>
        <v>0</v>
      </c>
      <c r="E148" s="15">
        <f t="shared" si="23"/>
        <v>0</v>
      </c>
      <c r="F148" s="14">
        <f t="shared" si="23"/>
        <v>0</v>
      </c>
      <c r="G148" s="15">
        <f t="shared" si="23"/>
        <v>0</v>
      </c>
      <c r="H148" s="14">
        <f t="shared" si="23"/>
        <v>0</v>
      </c>
      <c r="I148" s="15">
        <f t="shared" si="23"/>
        <v>0</v>
      </c>
      <c r="J148" s="14">
        <f t="shared" si="23"/>
        <v>0</v>
      </c>
      <c r="K148" s="15">
        <f t="shared" si="23"/>
        <v>0</v>
      </c>
      <c r="L148" s="14">
        <f t="shared" si="23"/>
        <v>0</v>
      </c>
      <c r="M148" s="15">
        <f t="shared" si="23"/>
        <v>0</v>
      </c>
    </row>
    <row r="149" spans="1:13" ht="13.5" thickBot="1" x14ac:dyDescent="0.2">
      <c r="A149" s="16" t="s">
        <v>46</v>
      </c>
      <c r="B149" s="17">
        <f t="shared" ref="B149:M149" si="24">SUM(B137:B148)</f>
        <v>1208846</v>
      </c>
      <c r="C149" s="18">
        <f t="shared" si="24"/>
        <v>4533172.5</v>
      </c>
      <c r="D149" s="17">
        <f t="shared" si="24"/>
        <v>9288</v>
      </c>
      <c r="E149" s="18">
        <f t="shared" si="24"/>
        <v>92739</v>
      </c>
      <c r="F149" s="17">
        <f t="shared" si="24"/>
        <v>9956</v>
      </c>
      <c r="G149" s="18">
        <f t="shared" si="24"/>
        <v>139305</v>
      </c>
      <c r="H149" s="19">
        <f t="shared" si="24"/>
        <v>595</v>
      </c>
      <c r="I149" s="18">
        <f t="shared" si="24"/>
        <v>9327.5</v>
      </c>
      <c r="J149" s="17">
        <f t="shared" si="24"/>
        <v>71065</v>
      </c>
      <c r="K149" s="18">
        <f t="shared" si="24"/>
        <v>1409716</v>
      </c>
      <c r="L149" s="17">
        <f t="shared" si="24"/>
        <v>10798</v>
      </c>
      <c r="M149" s="18">
        <f t="shared" si="24"/>
        <v>258760.5</v>
      </c>
    </row>
    <row r="150" spans="1:13" ht="12.75" thickBo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x14ac:dyDescent="0.15">
      <c r="A151" s="5" t="s">
        <v>3</v>
      </c>
      <c r="B151" s="6" t="s">
        <v>19</v>
      </c>
      <c r="C151" s="6" t="s">
        <v>20</v>
      </c>
      <c r="D151" s="6" t="s">
        <v>21</v>
      </c>
      <c r="E151" s="6" t="s">
        <v>22</v>
      </c>
      <c r="F151" s="6" t="s">
        <v>23</v>
      </c>
      <c r="G151" s="6" t="s">
        <v>24</v>
      </c>
      <c r="H151" s="6" t="s">
        <v>25</v>
      </c>
      <c r="I151" s="6" t="s">
        <v>26</v>
      </c>
      <c r="J151" s="6" t="s">
        <v>27</v>
      </c>
      <c r="K151" s="6" t="s">
        <v>28</v>
      </c>
      <c r="L151" s="6" t="s">
        <v>29</v>
      </c>
      <c r="M151" s="6" t="s">
        <v>29</v>
      </c>
    </row>
    <row r="152" spans="1:13" ht="13.5" thickBot="1" x14ac:dyDescent="0.2">
      <c r="A152" s="8" t="s">
        <v>16</v>
      </c>
      <c r="B152" s="9">
        <v>1</v>
      </c>
      <c r="C152" s="10" t="s">
        <v>17</v>
      </c>
      <c r="D152" s="9" t="s">
        <v>30</v>
      </c>
      <c r="E152" s="10" t="s">
        <v>17</v>
      </c>
      <c r="F152" s="9">
        <v>10</v>
      </c>
      <c r="G152" s="10" t="s">
        <v>17</v>
      </c>
      <c r="H152" s="9">
        <v>1</v>
      </c>
      <c r="I152" s="10" t="s">
        <v>17</v>
      </c>
      <c r="J152" s="10"/>
      <c r="K152" s="10" t="s">
        <v>17</v>
      </c>
      <c r="L152" s="10" t="s">
        <v>31</v>
      </c>
      <c r="M152" s="10" t="s">
        <v>32</v>
      </c>
    </row>
    <row r="153" spans="1:13" ht="12.75" x14ac:dyDescent="0.15">
      <c r="A153" s="13">
        <v>44470</v>
      </c>
      <c r="B153" s="14">
        <f t="shared" ref="B153:M153" si="25">B27+B69+B111</f>
        <v>2706</v>
      </c>
      <c r="C153" s="20">
        <f t="shared" si="25"/>
        <v>2706</v>
      </c>
      <c r="D153" s="14">
        <f t="shared" si="25"/>
        <v>5337</v>
      </c>
      <c r="E153" s="20">
        <f t="shared" si="25"/>
        <v>45281.75</v>
      </c>
      <c r="F153" s="14">
        <f t="shared" si="25"/>
        <v>265</v>
      </c>
      <c r="G153" s="20">
        <f t="shared" si="25"/>
        <v>2650</v>
      </c>
      <c r="H153" s="14">
        <f t="shared" si="25"/>
        <v>74313</v>
      </c>
      <c r="I153" s="20">
        <f t="shared" si="25"/>
        <v>74313</v>
      </c>
      <c r="J153" s="14">
        <f t="shared" si="25"/>
        <v>2957</v>
      </c>
      <c r="K153" s="20">
        <f t="shared" si="25"/>
        <v>22138.34</v>
      </c>
      <c r="L153" s="21">
        <f t="shared" si="25"/>
        <v>329167</v>
      </c>
      <c r="M153" s="22">
        <f t="shared" si="25"/>
        <v>1360879.3399999999</v>
      </c>
    </row>
    <row r="154" spans="1:13" ht="12.75" x14ac:dyDescent="0.15">
      <c r="A154" s="13">
        <v>44501</v>
      </c>
      <c r="B154" s="14">
        <f t="shared" ref="B154:M154" si="26">B28+B70+B112</f>
        <v>2570</v>
      </c>
      <c r="C154" s="20">
        <f t="shared" si="26"/>
        <v>2570</v>
      </c>
      <c r="D154" s="14">
        <f t="shared" si="26"/>
        <v>6124</v>
      </c>
      <c r="E154" s="20">
        <f t="shared" si="26"/>
        <v>52592</v>
      </c>
      <c r="F154" s="14">
        <f t="shared" si="26"/>
        <v>262</v>
      </c>
      <c r="G154" s="20">
        <f t="shared" si="26"/>
        <v>2620</v>
      </c>
      <c r="H154" s="14">
        <f t="shared" si="26"/>
        <v>97925</v>
      </c>
      <c r="I154" s="20">
        <f t="shared" si="26"/>
        <v>97925</v>
      </c>
      <c r="J154" s="14">
        <f t="shared" si="26"/>
        <v>3498</v>
      </c>
      <c r="K154" s="20">
        <f t="shared" si="26"/>
        <v>27588.850000000002</v>
      </c>
      <c r="L154" s="21">
        <f t="shared" si="26"/>
        <v>373292</v>
      </c>
      <c r="M154" s="22">
        <f t="shared" si="26"/>
        <v>1476387.1</v>
      </c>
    </row>
    <row r="155" spans="1:13" ht="12.75" x14ac:dyDescent="0.15">
      <c r="A155" s="13">
        <v>44531</v>
      </c>
      <c r="B155" s="14">
        <f t="shared" ref="B155:M155" si="27">B29+B71+B113</f>
        <v>2630</v>
      </c>
      <c r="C155" s="20">
        <f t="shared" si="27"/>
        <v>2630</v>
      </c>
      <c r="D155" s="14">
        <f t="shared" si="27"/>
        <v>5693</v>
      </c>
      <c r="E155" s="20">
        <f t="shared" si="27"/>
        <v>48719.75</v>
      </c>
      <c r="F155" s="14">
        <f t="shared" si="27"/>
        <v>290</v>
      </c>
      <c r="G155" s="20">
        <f t="shared" si="27"/>
        <v>2900</v>
      </c>
      <c r="H155" s="14">
        <f t="shared" si="27"/>
        <v>114187</v>
      </c>
      <c r="I155" s="20">
        <f t="shared" si="27"/>
        <v>114187</v>
      </c>
      <c r="J155" s="14">
        <f t="shared" si="27"/>
        <v>3936</v>
      </c>
      <c r="K155" s="20">
        <f t="shared" si="27"/>
        <v>34628.39</v>
      </c>
      <c r="L155" s="21">
        <f t="shared" si="27"/>
        <v>426946</v>
      </c>
      <c r="M155" s="22">
        <f t="shared" si="27"/>
        <v>1630481.6400000001</v>
      </c>
    </row>
    <row r="156" spans="1:13" ht="12.75" x14ac:dyDescent="0.15">
      <c r="A156" s="13">
        <v>44562</v>
      </c>
      <c r="B156" s="14">
        <f t="shared" ref="B156:M156" si="28">B30+B72+B114</f>
        <v>2038</v>
      </c>
      <c r="C156" s="20">
        <f t="shared" si="28"/>
        <v>2038</v>
      </c>
      <c r="D156" s="14">
        <f t="shared" si="28"/>
        <v>3017</v>
      </c>
      <c r="E156" s="20">
        <f t="shared" si="28"/>
        <v>25201.75</v>
      </c>
      <c r="F156" s="14">
        <f t="shared" si="28"/>
        <v>270</v>
      </c>
      <c r="G156" s="20">
        <f t="shared" si="28"/>
        <v>2700</v>
      </c>
      <c r="H156" s="14">
        <f t="shared" si="28"/>
        <v>87858</v>
      </c>
      <c r="I156" s="20">
        <f t="shared" si="28"/>
        <v>87858</v>
      </c>
      <c r="J156" s="14">
        <f t="shared" si="28"/>
        <v>2186</v>
      </c>
      <c r="K156" s="20">
        <f t="shared" si="28"/>
        <v>28348.81</v>
      </c>
      <c r="L156" s="21">
        <f t="shared" si="28"/>
        <v>345751</v>
      </c>
      <c r="M156" s="22">
        <f t="shared" si="28"/>
        <v>1397007.81</v>
      </c>
    </row>
    <row r="157" spans="1:13" ht="12.75" x14ac:dyDescent="0.15">
      <c r="A157" s="13">
        <v>44593</v>
      </c>
      <c r="B157" s="14">
        <f t="shared" ref="B157:M157" si="29">B31+B73+B115</f>
        <v>1923</v>
      </c>
      <c r="C157" s="20">
        <f t="shared" si="29"/>
        <v>1923</v>
      </c>
      <c r="D157" s="14">
        <f t="shared" si="29"/>
        <v>4736</v>
      </c>
      <c r="E157" s="20">
        <f t="shared" si="29"/>
        <v>39665</v>
      </c>
      <c r="F157" s="14">
        <f t="shared" si="29"/>
        <v>226</v>
      </c>
      <c r="G157" s="20">
        <f t="shared" si="29"/>
        <v>2260</v>
      </c>
      <c r="H157" s="14">
        <f t="shared" si="29"/>
        <v>91439</v>
      </c>
      <c r="I157" s="20">
        <f t="shared" si="29"/>
        <v>91439</v>
      </c>
      <c r="J157" s="14">
        <f t="shared" si="29"/>
        <v>2620</v>
      </c>
      <c r="K157" s="20">
        <f t="shared" si="29"/>
        <v>25952.99</v>
      </c>
      <c r="L157" s="21">
        <f t="shared" si="29"/>
        <v>354398</v>
      </c>
      <c r="M157" s="22">
        <f t="shared" si="29"/>
        <v>1419101.24</v>
      </c>
    </row>
    <row r="158" spans="1:13" ht="12.75" x14ac:dyDescent="0.15">
      <c r="A158" s="13">
        <v>44621</v>
      </c>
      <c r="B158" s="14">
        <f t="shared" ref="B158:M158" si="30">B32+B74+B116</f>
        <v>0</v>
      </c>
      <c r="C158" s="20">
        <f t="shared" si="30"/>
        <v>0</v>
      </c>
      <c r="D158" s="14">
        <f t="shared" si="30"/>
        <v>0</v>
      </c>
      <c r="E158" s="20">
        <f t="shared" si="30"/>
        <v>0</v>
      </c>
      <c r="F158" s="14">
        <f t="shared" si="30"/>
        <v>0</v>
      </c>
      <c r="G158" s="20">
        <f t="shared" si="30"/>
        <v>0</v>
      </c>
      <c r="H158" s="14">
        <f t="shared" si="30"/>
        <v>0</v>
      </c>
      <c r="I158" s="20">
        <f t="shared" si="30"/>
        <v>0</v>
      </c>
      <c r="J158" s="14">
        <f t="shared" si="30"/>
        <v>0</v>
      </c>
      <c r="K158" s="20">
        <f t="shared" si="30"/>
        <v>0</v>
      </c>
      <c r="L158" s="21">
        <f t="shared" si="30"/>
        <v>0</v>
      </c>
      <c r="M158" s="22">
        <f t="shared" si="30"/>
        <v>0</v>
      </c>
    </row>
    <row r="159" spans="1:13" ht="12.75" x14ac:dyDescent="0.15">
      <c r="A159" s="13">
        <v>44652</v>
      </c>
      <c r="B159" s="14">
        <f t="shared" ref="B159:M159" si="31">B33+B75+B117</f>
        <v>0</v>
      </c>
      <c r="C159" s="20">
        <f t="shared" si="31"/>
        <v>0</v>
      </c>
      <c r="D159" s="14">
        <f t="shared" si="31"/>
        <v>0</v>
      </c>
      <c r="E159" s="20">
        <f t="shared" si="31"/>
        <v>0</v>
      </c>
      <c r="F159" s="14">
        <f t="shared" si="31"/>
        <v>0</v>
      </c>
      <c r="G159" s="20">
        <f t="shared" si="31"/>
        <v>0</v>
      </c>
      <c r="H159" s="14">
        <f t="shared" si="31"/>
        <v>0</v>
      </c>
      <c r="I159" s="20">
        <f t="shared" si="31"/>
        <v>0</v>
      </c>
      <c r="J159" s="14">
        <f t="shared" si="31"/>
        <v>0</v>
      </c>
      <c r="K159" s="20">
        <f t="shared" si="31"/>
        <v>0</v>
      </c>
      <c r="L159" s="21">
        <f t="shared" si="31"/>
        <v>0</v>
      </c>
      <c r="M159" s="22">
        <f t="shared" si="31"/>
        <v>0</v>
      </c>
    </row>
    <row r="160" spans="1:13" ht="12.75" x14ac:dyDescent="0.15">
      <c r="A160" s="13">
        <v>44682</v>
      </c>
      <c r="B160" s="14">
        <f t="shared" ref="B160:M160" si="32">B34+B76+B118</f>
        <v>0</v>
      </c>
      <c r="C160" s="20">
        <f t="shared" si="32"/>
        <v>0</v>
      </c>
      <c r="D160" s="14">
        <f t="shared" si="32"/>
        <v>0</v>
      </c>
      <c r="E160" s="20">
        <f t="shared" si="32"/>
        <v>0</v>
      </c>
      <c r="F160" s="14">
        <f t="shared" si="32"/>
        <v>0</v>
      </c>
      <c r="G160" s="20">
        <f t="shared" si="32"/>
        <v>0</v>
      </c>
      <c r="H160" s="14">
        <f t="shared" si="32"/>
        <v>0</v>
      </c>
      <c r="I160" s="20">
        <f t="shared" si="32"/>
        <v>0</v>
      </c>
      <c r="J160" s="14">
        <f t="shared" si="32"/>
        <v>0</v>
      </c>
      <c r="K160" s="20">
        <f t="shared" si="32"/>
        <v>0</v>
      </c>
      <c r="L160" s="21">
        <f t="shared" si="32"/>
        <v>0</v>
      </c>
      <c r="M160" s="22">
        <f t="shared" si="32"/>
        <v>0</v>
      </c>
    </row>
    <row r="161" spans="1:13" ht="12.75" x14ac:dyDescent="0.15">
      <c r="A161" s="13">
        <v>44713</v>
      </c>
      <c r="B161" s="14">
        <f t="shared" ref="B161:M161" si="33">B35+B77+B119</f>
        <v>0</v>
      </c>
      <c r="C161" s="20">
        <f t="shared" si="33"/>
        <v>0</v>
      </c>
      <c r="D161" s="14">
        <f t="shared" si="33"/>
        <v>0</v>
      </c>
      <c r="E161" s="20">
        <f t="shared" si="33"/>
        <v>0</v>
      </c>
      <c r="F161" s="14">
        <f t="shared" si="33"/>
        <v>0</v>
      </c>
      <c r="G161" s="20">
        <f t="shared" si="33"/>
        <v>0</v>
      </c>
      <c r="H161" s="14">
        <f t="shared" si="33"/>
        <v>0</v>
      </c>
      <c r="I161" s="20">
        <f t="shared" si="33"/>
        <v>0</v>
      </c>
      <c r="J161" s="14">
        <f t="shared" si="33"/>
        <v>0</v>
      </c>
      <c r="K161" s="20">
        <f t="shared" si="33"/>
        <v>0</v>
      </c>
      <c r="L161" s="21">
        <f t="shared" si="33"/>
        <v>0</v>
      </c>
      <c r="M161" s="22">
        <f t="shared" si="33"/>
        <v>0</v>
      </c>
    </row>
    <row r="162" spans="1:13" ht="12.75" x14ac:dyDescent="0.15">
      <c r="A162" s="13">
        <v>44743</v>
      </c>
      <c r="B162" s="14">
        <f t="shared" ref="B162:M162" si="34">B36+B78+B120</f>
        <v>0</v>
      </c>
      <c r="C162" s="20">
        <f t="shared" si="34"/>
        <v>0</v>
      </c>
      <c r="D162" s="14">
        <f t="shared" si="34"/>
        <v>0</v>
      </c>
      <c r="E162" s="20">
        <f t="shared" si="34"/>
        <v>0</v>
      </c>
      <c r="F162" s="14">
        <f t="shared" si="34"/>
        <v>0</v>
      </c>
      <c r="G162" s="20">
        <f t="shared" si="34"/>
        <v>0</v>
      </c>
      <c r="H162" s="14">
        <f t="shared" si="34"/>
        <v>0</v>
      </c>
      <c r="I162" s="20">
        <f t="shared" si="34"/>
        <v>0</v>
      </c>
      <c r="J162" s="14">
        <f t="shared" si="34"/>
        <v>0</v>
      </c>
      <c r="K162" s="20">
        <f t="shared" si="34"/>
        <v>0</v>
      </c>
      <c r="L162" s="21">
        <f t="shared" si="34"/>
        <v>0</v>
      </c>
      <c r="M162" s="22">
        <f t="shared" si="34"/>
        <v>0</v>
      </c>
    </row>
    <row r="163" spans="1:13" ht="12.75" x14ac:dyDescent="0.15">
      <c r="A163" s="13">
        <v>44774</v>
      </c>
      <c r="B163" s="14">
        <f t="shared" ref="B163:M163" si="35">B37+B79+B121</f>
        <v>0</v>
      </c>
      <c r="C163" s="20">
        <f t="shared" si="35"/>
        <v>0</v>
      </c>
      <c r="D163" s="14">
        <f t="shared" si="35"/>
        <v>0</v>
      </c>
      <c r="E163" s="20">
        <f t="shared" si="35"/>
        <v>0</v>
      </c>
      <c r="F163" s="14">
        <f t="shared" si="35"/>
        <v>0</v>
      </c>
      <c r="G163" s="20">
        <f t="shared" si="35"/>
        <v>0</v>
      </c>
      <c r="H163" s="14">
        <f t="shared" si="35"/>
        <v>0</v>
      </c>
      <c r="I163" s="20">
        <f t="shared" si="35"/>
        <v>0</v>
      </c>
      <c r="J163" s="14">
        <f t="shared" si="35"/>
        <v>0</v>
      </c>
      <c r="K163" s="20">
        <f t="shared" si="35"/>
        <v>0</v>
      </c>
      <c r="L163" s="21">
        <f t="shared" si="35"/>
        <v>0</v>
      </c>
      <c r="M163" s="22">
        <f t="shared" si="35"/>
        <v>0</v>
      </c>
    </row>
    <row r="164" spans="1:13" ht="12.75" x14ac:dyDescent="0.15">
      <c r="A164" s="13">
        <v>44805</v>
      </c>
      <c r="B164" s="14">
        <f t="shared" ref="B164:M164" si="36">B38+B80+B122</f>
        <v>0</v>
      </c>
      <c r="C164" s="20">
        <f t="shared" si="36"/>
        <v>0</v>
      </c>
      <c r="D164" s="14">
        <f t="shared" si="36"/>
        <v>0</v>
      </c>
      <c r="E164" s="20">
        <f t="shared" si="36"/>
        <v>0</v>
      </c>
      <c r="F164" s="14">
        <f t="shared" si="36"/>
        <v>0</v>
      </c>
      <c r="G164" s="20">
        <f t="shared" si="36"/>
        <v>0</v>
      </c>
      <c r="H164" s="14">
        <f t="shared" si="36"/>
        <v>0</v>
      </c>
      <c r="I164" s="20">
        <f t="shared" si="36"/>
        <v>0</v>
      </c>
      <c r="J164" s="14">
        <f t="shared" si="36"/>
        <v>0</v>
      </c>
      <c r="K164" s="20">
        <f t="shared" si="36"/>
        <v>0</v>
      </c>
      <c r="L164" s="21">
        <f t="shared" si="36"/>
        <v>0</v>
      </c>
      <c r="M164" s="22">
        <f t="shared" si="36"/>
        <v>0</v>
      </c>
    </row>
    <row r="165" spans="1:13" ht="13.5" thickBot="1" x14ac:dyDescent="0.2">
      <c r="A165" s="16" t="s">
        <v>46</v>
      </c>
      <c r="B165" s="17">
        <f t="shared" ref="B165:M165" si="37">SUM(B153:B164)</f>
        <v>11867</v>
      </c>
      <c r="C165" s="23">
        <f t="shared" si="37"/>
        <v>11867</v>
      </c>
      <c r="D165" s="17">
        <f t="shared" si="37"/>
        <v>24907</v>
      </c>
      <c r="E165" s="23">
        <f t="shared" si="37"/>
        <v>211460.25</v>
      </c>
      <c r="F165" s="17">
        <f t="shared" si="37"/>
        <v>1313</v>
      </c>
      <c r="G165" s="23">
        <f t="shared" si="37"/>
        <v>13130</v>
      </c>
      <c r="H165" s="17">
        <f t="shared" si="37"/>
        <v>465722</v>
      </c>
      <c r="I165" s="23">
        <f t="shared" si="37"/>
        <v>465722</v>
      </c>
      <c r="J165" s="17">
        <f t="shared" si="37"/>
        <v>15197</v>
      </c>
      <c r="K165" s="23">
        <f t="shared" si="37"/>
        <v>138657.38</v>
      </c>
      <c r="L165" s="24">
        <f t="shared" si="37"/>
        <v>1829554</v>
      </c>
      <c r="M165" s="25">
        <f t="shared" si="37"/>
        <v>7283857.1300000008</v>
      </c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" customHeight="1" x14ac:dyDescent="0.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x14ac:dyDescent="0.15">
      <c r="A168" s="2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x14ac:dyDescent="0.15">
      <c r="A169" s="3" t="s">
        <v>33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</sheetData>
  <mergeCells count="12">
    <mergeCell ref="A167:M167"/>
    <mergeCell ref="A2:M2"/>
    <mergeCell ref="A3:M3"/>
    <mergeCell ref="A41:M41"/>
    <mergeCell ref="A44:M44"/>
    <mergeCell ref="A45:M45"/>
    <mergeCell ref="A83:M83"/>
    <mergeCell ref="A86:M86"/>
    <mergeCell ref="A87:M87"/>
    <mergeCell ref="A125:M125"/>
    <mergeCell ref="A128:M128"/>
    <mergeCell ref="A129:M129"/>
  </mergeCells>
  <printOptions horizontalCentered="1"/>
  <pageMargins left="0.25" right="0" top="0.66" bottom="0.23" header="0.28000000000000003" footer="0.25"/>
  <pageSetup scale="85" orientation="landscape" r:id="rId1"/>
  <headerFooter alignWithMargins="0"/>
  <rowBreaks count="3" manualBreakCount="3">
    <brk id="43" max="12" man="1"/>
    <brk id="85" max="12" man="1"/>
    <brk id="12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19 SYSTEM  </vt:lpstr>
      <vt:lpstr>20 SYSTEM  </vt:lpstr>
      <vt:lpstr>21 SYSTEM </vt:lpstr>
      <vt:lpstr>22 SYSTEM </vt:lpstr>
      <vt:lpstr>'19 SYSTEM  '!Print_Area</vt:lpstr>
      <vt:lpstr>'20 SYSTEM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Garcia</dc:creator>
  <cp:lastModifiedBy>James Charlesworth</cp:lastModifiedBy>
  <cp:lastPrinted>2022-03-04T15:36:41Z</cp:lastPrinted>
  <dcterms:created xsi:type="dcterms:W3CDTF">2022-03-04T15:32:09Z</dcterms:created>
  <dcterms:modified xsi:type="dcterms:W3CDTF">2022-03-24T20:24:30Z</dcterms:modified>
</cp:coreProperties>
</file>